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16380" windowHeight="8200" tabRatio="888" activeTab="3"/>
  </bookViews>
  <sheets>
    <sheet name="IMPORTANT" sheetId="1" r:id="rId1"/>
    <sheet name="1-Déclaration" sheetId="2" r:id="rId2"/>
    <sheet name="1-Registration" sheetId="3" r:id="rId3"/>
    <sheet name="2-Définition" sheetId="4" r:id="rId4"/>
    <sheet name="2-Definition" sheetId="5" r:id="rId5"/>
    <sheet name="3-FicheTechnique" sheetId="6" r:id="rId6"/>
    <sheet name="3-TechnicalFile" sheetId="7" r:id="rId7"/>
    <sheet name="4a-Avancement_minif" sheetId="8" r:id="rId8"/>
    <sheet name="4a-Progress_mini-rocket" sheetId="9" r:id="rId9"/>
    <sheet name="4b-Avancement_fusex" sheetId="10" r:id="rId10"/>
    <sheet name="4b-Progress_fusex" sheetId="11" r:id="rId11"/>
    <sheet name="5-Dérogation" sheetId="12" r:id="rId12"/>
    <sheet name="5-Dispensation" sheetId="13" r:id="rId13"/>
    <sheet name="PlanèteSciences" sheetId="14" r:id="rId14"/>
    <sheet name="Source" sheetId="15" r:id="rId15"/>
  </sheets>
  <definedNames>
    <definedName name="ANNEE">'Source'!$A$28</definedName>
    <definedName name="Date1_en">'Source'!$C$32</definedName>
    <definedName name="Date1_fr">'Source'!$A$32</definedName>
    <definedName name="Date2_en">'Source'!$C$33</definedName>
    <definedName name="Date2_fr">'Source'!$A$33</definedName>
    <definedName name="Date3_en">'Source'!$C$34</definedName>
    <definedName name="Date3_fr">'Source'!$A$34</definedName>
    <definedName name="Date4_en">'Source'!$C$35</definedName>
    <definedName name="Date4_fr">'Source'!$A$35</definedName>
    <definedName name="DispensationType">'Source'!$W$16:$W$19</definedName>
    <definedName name="Effort">#REF!</definedName>
    <definedName name="Effort_6">#REF!</definedName>
    <definedName name="Effort_7">#REF!</definedName>
    <definedName name="EjectionType">'Source'!$K$16:$K$19</definedName>
    <definedName name="Emetteur">#REF!</definedName>
    <definedName name="Emetteur_6">#REF!</definedName>
    <definedName name="Emetteur_7">#REF!</definedName>
    <definedName name="Location">'Source'!$O$16:$O$23</definedName>
    <definedName name="LocationType">'Source'!$O$16:$O$25</definedName>
    <definedName name="MiscType">'Source'!$S$16:$S$18</definedName>
    <definedName name="Old">'Source'!$O$16:$O$25</definedName>
    <definedName name="_xlnm.Print_Area" localSheetId="1">'1-Déclaration'!$A$1:$C$268</definedName>
    <definedName name="_xlnm.Print_Area" localSheetId="2">'1-Registration'!$A$1:$C$266</definedName>
    <definedName name="_xlnm.Print_Area" localSheetId="4">'2-Definition'!$A$1:$F$129</definedName>
    <definedName name="_xlnm.Print_Area" localSheetId="3">'2-Définition'!$A$1:$F$129</definedName>
    <definedName name="_xlnm.Print_Area" localSheetId="5">'3-FicheTechnique'!$A$1:$F$161</definedName>
    <definedName name="_xlnm.Print_Area" localSheetId="6">'3-TechnicalFile'!$A$1:$F$160</definedName>
    <definedName name="_xlnm.Print_Area" localSheetId="7">'4a-Avancement_minif'!$A$1:$P$188</definedName>
    <definedName name="_xlnm.Print_Area" localSheetId="8">'4a-Progress_mini-rocket'!$A$1:$P$188</definedName>
    <definedName name="_xlnm.Print_Area" localSheetId="9">'4b-Avancement_fusex'!$A$1:$P$224</definedName>
    <definedName name="_xlnm.Print_Area" localSheetId="10">'4b-Progress_fusex'!$A$1:$P$220</definedName>
    <definedName name="_xlnm.Print_Area" localSheetId="11">'5-Dérogation'!$A$1:$F$71</definedName>
    <definedName name="_xlnm.Print_Area" localSheetId="12">'5-Dispensation'!$A$1:$F$71</definedName>
    <definedName name="_xlnm.Print_Area" localSheetId="0">'IMPORTANT'!$A$1:$G$45</definedName>
    <definedName name="ProjectType">'Source'!$A$16:$A$20</definedName>
    <definedName name="PropellorType">'Source'!$C$16:$C$22</definedName>
    <definedName name="Propulseurs">#REF!</definedName>
    <definedName name="Propulseurs_6">#REF!</definedName>
    <definedName name="Propulseurs_7">#REF!</definedName>
    <definedName name="Question">'Source'!#REF!</definedName>
    <definedName name="Question_6">#REF!</definedName>
    <definedName name="Question_7">#REF!</definedName>
    <definedName name="QuestionType">'Source'!$U$16:$U$18</definedName>
    <definedName name="RecoveryType">'Source'!$I$16:$I$18</definedName>
    <definedName name="SeparationType">'Source'!$K$19:$K$21</definedName>
    <definedName name="SkillType">'Source'!$Q$16:$Q$21</definedName>
    <definedName name="StructuralType">'Source'!$M$16:$M$18</definedName>
    <definedName name="TelemetryType">'Source'!$G$16:$G$19</definedName>
    <definedName name="Test">'Source'!#REF!</definedName>
    <definedName name="Titi">'Source'!$O$16:$O$25</definedName>
    <definedName name="Toto">'Source'!$O$16:$O$23</definedName>
    <definedName name="TransmitterType">'Source'!$E$16:$E$19</definedName>
    <definedName name="TUTU">'Source'!#REF!</definedName>
    <definedName name="TypeCompetences">'Source'!$Q$3:$Q$8</definedName>
    <definedName name="TypeCompétences">'Source'!$Q$3:$Q$8</definedName>
    <definedName name="Typederog">'Source'!$W$3:$W$6</definedName>
    <definedName name="TypeDivers">'Source'!$S$3:$S$5</definedName>
    <definedName name="TypeEmetteurs">'Source'!$E$3:$E$6</definedName>
    <definedName name="TypeLieux">'Source'!$O$3:$O$12</definedName>
    <definedName name="TypeMoteurs">'Source'!$C$3:$C$9</definedName>
    <definedName name="TypeProjet">#REF!</definedName>
    <definedName name="TypeProjet_6">#REF!</definedName>
    <definedName name="TypeProjet_7">#REF!</definedName>
    <definedName name="TypeProjets">'Source'!$A$3:$A$7</definedName>
    <definedName name="TypeQuestion">'Source'!$U$3:$U$5</definedName>
    <definedName name="TypeRalentisseurs">'Source'!$I$3:$I$5</definedName>
    <definedName name="TypeRecup">#REF!</definedName>
    <definedName name="TypeRecup_6">#REF!</definedName>
    <definedName name="TypeRecup_7">#REF!</definedName>
    <definedName name="TypeSépa">#REF!</definedName>
    <definedName name="TypeSépa_6">#REF!</definedName>
    <definedName name="TypeSépa_7">#REF!</definedName>
    <definedName name="TypeSeparations">'Source'!$K$3:$K$6</definedName>
    <definedName name="TypeStructure">'Source'!$M$3:$M$5</definedName>
    <definedName name="TypeTelem">'Source'!#REF!</definedName>
    <definedName name="TypeTelem_6">#REF!</definedName>
    <definedName name="TypeTelem_7">#REF!</definedName>
    <definedName name="TypeTelemesure">'Source'!$G$3:$G$6</definedName>
  </definedNames>
  <calcPr fullCalcOnLoad="1"/>
</workbook>
</file>

<file path=xl/sharedStrings.xml><?xml version="1.0" encoding="utf-8"?>
<sst xmlns="http://schemas.openxmlformats.org/spreadsheetml/2006/main" count="2053" uniqueCount="782">
  <si>
    <t>Français</t>
  </si>
  <si>
    <t>ENGLISH</t>
  </si>
  <si>
    <t>PLANNING</t>
  </si>
  <si>
    <t>X</t>
  </si>
  <si>
    <t>FICHE DE DECLARATION DE PROJET ESPACE</t>
  </si>
  <si>
    <t>UNE FICHE PAR PROJET</t>
  </si>
  <si>
    <t>Cette fiche est nécessaire à toute inscription pour la session Espace de l'année mentionnée ci-dessus.</t>
  </si>
  <si>
    <r>
      <t xml:space="preserve">Elle accompagne l'adhésion Planète Sciences ainsi que le </t>
    </r>
    <r>
      <rPr>
        <b/>
        <sz val="8"/>
        <color indexed="9"/>
        <rFont val="Arial"/>
        <family val="2"/>
      </rPr>
      <t>"Contrat Projet Espace"</t>
    </r>
    <r>
      <rPr>
        <sz val="8"/>
        <color indexed="9"/>
        <rFont val="Arial"/>
        <family val="2"/>
      </rPr>
      <t xml:space="preserve">. </t>
    </r>
    <r>
      <rPr>
        <b/>
        <sz val="8"/>
        <color indexed="9"/>
        <rFont val="Arial"/>
        <family val="2"/>
      </rPr>
      <t>Seul ce contrat</t>
    </r>
    <r>
      <rPr>
        <sz val="8"/>
        <color indexed="9"/>
        <rFont val="Arial"/>
        <family val="2"/>
      </rPr>
      <t>, passé entre le Club,</t>
    </r>
  </si>
  <si>
    <r>
      <t>le CNES et Planète Sciences</t>
    </r>
    <r>
      <rPr>
        <b/>
        <sz val="8"/>
        <color indexed="9"/>
        <rFont val="Arial"/>
        <family val="2"/>
      </rPr>
      <t xml:space="preserve"> tient lieu d'engagement</t>
    </r>
    <r>
      <rPr>
        <sz val="8"/>
        <color indexed="9"/>
        <rFont val="Arial"/>
        <family val="2"/>
      </rPr>
      <t xml:space="preserve"> pour chacune des parties et ce durant toute la session en question.</t>
    </r>
  </si>
  <si>
    <t>Nom du Projet</t>
  </si>
  <si>
    <t>Type de projet</t>
  </si>
  <si>
    <t>Sélectionner …</t>
  </si>
  <si>
    <t>VOTRE CLUB</t>
  </si>
  <si>
    <t>NOM</t>
  </si>
  <si>
    <t>Adresse postale</t>
  </si>
  <si>
    <t>Téléphone</t>
  </si>
  <si>
    <t>Email</t>
  </si>
  <si>
    <t>Site Web</t>
  </si>
  <si>
    <t>http://</t>
  </si>
  <si>
    <t>VOTRE RESPONSABLE</t>
  </si>
  <si>
    <t>Téléphone fixe</t>
  </si>
  <si>
    <t>Téléphone mobile</t>
  </si>
  <si>
    <t>EXPERIENCES ENVISAGEES</t>
  </si>
  <si>
    <t>1-</t>
  </si>
  <si>
    <t>2-</t>
  </si>
  <si>
    <t>3-</t>
  </si>
  <si>
    <t>4-</t>
  </si>
  <si>
    <t>LANCEMENT OU LACHER : dates et lieux souhaités</t>
  </si>
  <si>
    <t>* obligatoire pour les fusées expérimentales et projet spéciaux</t>
  </si>
  <si>
    <t>Manifestation</t>
  </si>
  <si>
    <t>Lieu</t>
  </si>
  <si>
    <t>Date</t>
  </si>
  <si>
    <r>
      <t>Remarques ou demandes particulières</t>
    </r>
    <r>
      <rPr>
        <sz val="10"/>
        <rFont val="Arial"/>
        <family val="2"/>
      </rPr>
      <t xml:space="preserve"> </t>
    </r>
  </si>
  <si>
    <t>Propulseur</t>
  </si>
  <si>
    <t>Emetteur</t>
  </si>
  <si>
    <t>LE CLUB</t>
  </si>
  <si>
    <t>Quelques mots sur la vie du club et de ses membres : historique, organisation, fonctionnement, réunions, moyens financiers et matériel…</t>
  </si>
  <si>
    <t>PARTICIPANTS  identifiés à ce jour</t>
  </si>
  <si>
    <t>5 membres minimum pour les projets expérimentaux - 2 pour les minifs</t>
  </si>
  <si>
    <t>Responsable de projet</t>
  </si>
  <si>
    <t>Nom - Prénom</t>
  </si>
  <si>
    <t>Age</t>
  </si>
  <si>
    <t>Tél</t>
  </si>
  <si>
    <t>Niveau d'études</t>
  </si>
  <si>
    <t>Compétences</t>
  </si>
  <si>
    <t>Réalisations antérieures</t>
  </si>
  <si>
    <t>Membre 1</t>
  </si>
  <si>
    <t>Membre 2</t>
  </si>
  <si>
    <t>Membre 3</t>
  </si>
  <si>
    <t>Membre 4</t>
  </si>
  <si>
    <t>Membre 5</t>
  </si>
  <si>
    <t>Membre 6</t>
  </si>
  <si>
    <t>Membre 7</t>
  </si>
  <si>
    <t>Membre 8</t>
  </si>
  <si>
    <t>Membre 9</t>
  </si>
  <si>
    <t>Membre 10</t>
  </si>
  <si>
    <t>Membre 11</t>
  </si>
  <si>
    <t>Membre 12</t>
  </si>
  <si>
    <t>Membre 13</t>
  </si>
  <si>
    <t>Membre 14</t>
  </si>
  <si>
    <t>Membre 15</t>
  </si>
  <si>
    <t>Membre 16</t>
  </si>
  <si>
    <t>Membre 17</t>
  </si>
  <si>
    <t>Membre 18</t>
  </si>
  <si>
    <t>Membre 19</t>
  </si>
  <si>
    <t>Membre 20</t>
  </si>
  <si>
    <t xml:space="preserve">SPACE DIVISION - PROJECT REGISTRATION FORM </t>
  </si>
  <si>
    <t>ONE FORM PER PROJECT</t>
  </si>
  <si>
    <t>This form must be filled to register for a project for the space division period mentioned here above.</t>
  </si>
  <si>
    <t>It has to be returned with your membership to Planète-Sciences as well as the « Space Project Contract »</t>
  </si>
  <si>
    <t>This contract, filled by the club, Planète-Sciences and CNES, is the only engagement between all parties during the period above mentioned.</t>
  </si>
  <si>
    <t>Project name</t>
  </si>
  <si>
    <t>Type of project</t>
  </si>
  <si>
    <t>Select…</t>
  </si>
  <si>
    <t>YOUR CLUB</t>
  </si>
  <si>
    <t>NAME</t>
  </si>
  <si>
    <t>Address</t>
  </si>
  <si>
    <t xml:space="preserve">
</t>
  </si>
  <si>
    <t>Phone</t>
  </si>
  <si>
    <t>Web site</t>
  </si>
  <si>
    <t>YOUR LEADER</t>
  </si>
  <si>
    <t>Fixed phone</t>
  </si>
  <si>
    <t>Mobile phone</t>
  </si>
  <si>
    <t>PLANNED EXPERIMENTS</t>
  </si>
  <si>
    <t>LAUNCH OR LIFT-OFF: wishes for date and place</t>
  </si>
  <si>
    <t>* mandatory for the experimental rockets and the special projects</t>
  </si>
  <si>
    <t>Event</t>
  </si>
  <si>
    <t>Place</t>
  </si>
  <si>
    <t>Remarks or specific requests</t>
  </si>
  <si>
    <t>Propellor type</t>
  </si>
  <si>
    <t>Transmitter type</t>
  </si>
  <si>
    <t>THE CLUB</t>
  </si>
  <si>
    <t>Tell us about your club and its members : history, organisation, functioning, meetings, fundings, equipments…</t>
  </si>
  <si>
    <t>MEMBERS known at present</t>
  </si>
  <si>
    <t>A minimum of 5 members is required for experimental projects - 2 for mini-rockets</t>
  </si>
  <si>
    <t>Club Leader</t>
  </si>
  <si>
    <t>Last name - First name</t>
  </si>
  <si>
    <t>Education level</t>
  </si>
  <si>
    <t>Main skill</t>
  </si>
  <si>
    <t>Previous project</t>
  </si>
  <si>
    <t>Member 1</t>
  </si>
  <si>
    <t>Member 2</t>
  </si>
  <si>
    <t>Member 3</t>
  </si>
  <si>
    <t>Member 4</t>
  </si>
  <si>
    <t>Member 5</t>
  </si>
  <si>
    <t>Member 6</t>
  </si>
  <si>
    <t>Member 7</t>
  </si>
  <si>
    <t>Member 8</t>
  </si>
  <si>
    <t>Member 9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</si>
  <si>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</si>
  <si>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</si>
  <si>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</si>
  <si>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</si>
  <si>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</si>
  <si>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</si>
  <si>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</si>
  <si>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17</t>
  </si>
  <si>
    <t>Member 18</t>
  </si>
  <si>
    <t>Member 19</t>
  </si>
  <si>
    <t>FICHE DE DEFINITION ESPACE</t>
  </si>
  <si>
    <t>Cette fiche permet de définir votre projet espace. Elle sera examinée et complétée lors de la 2ème RCE.</t>
  </si>
  <si>
    <t>La revue de définition est un travail nécessaire afin de commencer la réalisation technique de votre projet dans de bonnes conditions.</t>
  </si>
  <si>
    <t>Nom du projet</t>
  </si>
  <si>
    <t>Nom du club</t>
  </si>
  <si>
    <t>VOTRE PROJET</t>
  </si>
  <si>
    <t>Type de propulseur</t>
  </si>
  <si>
    <t>EXPERIENCE</t>
  </si>
  <si>
    <t>Un projet expérimental dont la ou les expérience(s) principale(s) ne fonctionne(nt) pas, ne peut être mis en œuvre</t>
  </si>
  <si>
    <t>L'expérience secondaire est facultative. Votre projet peut ne comporter qu'une ou plusieurs expérience(s) principale(s).</t>
  </si>
  <si>
    <t>Ne renseignez pas cette partie si votre projet est une fusée sans expérience embarquée.</t>
  </si>
  <si>
    <t>Expérience(s) principale(s)</t>
  </si>
  <si>
    <t>Pour chacun des paramètres, indiquez la plage de variation attendue</t>
  </si>
  <si>
    <t>Expérience(s) secondaire(s)
(facultatif)</t>
  </si>
  <si>
    <t>Paramètre(s) effectivement mesuré(s) 
(précisez les unités)</t>
  </si>
  <si>
    <t>Capteur(s) mis en œuvre</t>
  </si>
  <si>
    <t>Indiquez les formules de conversion</t>
  </si>
  <si>
    <t>Moyen de sauvegarde des données</t>
  </si>
  <si>
    <t>Enregistrement à bord</t>
  </si>
  <si>
    <t>Réception au sol</t>
  </si>
  <si>
    <t>TELEMESURE</t>
  </si>
  <si>
    <t>Ne renseignez cette partie que si vous envisagez l'utilisation d'un émetteur dans de votre projet.</t>
  </si>
  <si>
    <t>* Ce mode est utilisé pour transmettre plus de 4 signaux analogiques. Chaque signal est compris entre 0 et 5V</t>
  </si>
  <si>
    <t>Indiquez l'émetteur principal utilisé</t>
  </si>
  <si>
    <t>Licence radio-amateur**</t>
  </si>
  <si>
    <t>Indiquez le type de la télémesure</t>
  </si>
  <si>
    <t>Envisagez-vous de faire votre propre logiciel pour décoder votre télémesure ?</t>
  </si>
  <si>
    <t>Prévoyez-vous d'autre(s) 
source(s) d'émission ?</t>
  </si>
  <si>
    <t>SYSTEME DE RECUPERATION</t>
  </si>
  <si>
    <t>Indiquez le type de système de ralentisseur prévu</t>
  </si>
  <si>
    <t>Indiquez le type de séparation que vous comptez utiliser</t>
  </si>
  <si>
    <t>Indiquez les systèmes utilisés pour mettre en œuvre votre séparation et déployer votre ralentisseur
(plusieurs choix possibles)</t>
  </si>
  <si>
    <t>Jack</t>
  </si>
  <si>
    <t>Ventouse magnétique</t>
  </si>
  <si>
    <t>Minuterie</t>
  </si>
  <si>
    <t>Inflammateur</t>
  </si>
  <si>
    <t>Servo-Moteur</t>
  </si>
  <si>
    <t>Vérin pneumatique</t>
  </si>
  <si>
    <t>Autre (précisez)</t>
  </si>
  <si>
    <t>MECANIQUE</t>
  </si>
  <si>
    <t>Cette partie concerne seulement les fusées, pas les ballons.</t>
  </si>
  <si>
    <t>Combien d'ailerons comportera votre projet</t>
  </si>
  <si>
    <t>Quelle partie de la fusée reprend les efforts de la poussée ?</t>
  </si>
  <si>
    <t>INFORMATIQUE</t>
  </si>
  <si>
    <t>Renseignez cette partie seulement si vous pensez utiliser un ou plusieurs microcontrolleur(s) dans votre projet.</t>
  </si>
  <si>
    <t>SECURITE</t>
  </si>
  <si>
    <t>* On entend par système pyrotechnique, tout système autre qu'un inflammateur Davey-Bickford.</t>
  </si>
  <si>
    <t>Utiliserez-vous des systèmes pyrotechniques* dans votre fusée ?</t>
  </si>
  <si>
    <t>Utiliserez-vous des systèmes pneumatiques dans votre fusée ?</t>
  </si>
  <si>
    <t>Utiliserez-vous un ou plusieurs fumigène(s) dans votre fusée ?</t>
  </si>
  <si>
    <t>RESUME DES BESOINS MATERIEL</t>
  </si>
  <si>
    <t xml:space="preserve">Autres </t>
  </si>
  <si>
    <t>COMMENTAIRES</t>
  </si>
  <si>
    <t>Cette partie est réservée à Planète Sciences pour y faire des remarques concernant votre projet</t>
  </si>
  <si>
    <t>Y aura-t-il une demande de dérogation au Cahier des Charges ?</t>
  </si>
  <si>
    <t>Ce projet est-il spécial ?</t>
  </si>
  <si>
    <t>Un dossier de sécurité est-il demandé ?</t>
  </si>
  <si>
    <t>SPACE DIVISION - PROJECT DEFINITION FORM</t>
  </si>
  <si>
    <t>This form is used to technically describe your project. It will be analysed and completed during the second Space Clubs gathering</t>
  </si>
  <si>
    <t>The definition review is necessary to start  in good conditions with the technical development of your project.</t>
  </si>
  <si>
    <t>Club name</t>
  </si>
  <si>
    <t>YOUR PROJECT</t>
  </si>
  <si>
    <t>Type of propellor</t>
  </si>
  <si>
    <t>EXPERIMENT</t>
  </si>
  <si>
    <t>An experimental project for which the main(s) experiment(s) is (are) not functionning can't be set up.</t>
  </si>
  <si>
    <t>The secondary experiment is optional. Your project may contain a single or several main experiment(s)</t>
  </si>
  <si>
    <t>Do not fill this part if your project is a rocket without onboard experiment</t>
  </si>
  <si>
    <t>Main experiment(s)</t>
  </si>
  <si>
    <t>Parameter(s) to measure
(mention the units)</t>
  </si>
  <si>
    <t>For each parameter, precise the 
expected result</t>
  </si>
  <si>
    <t>Secondary experiment(s)
(optional)</t>
  </si>
  <si>
    <t>Parameter(s) actually sensed
(mention the units)</t>
  </si>
  <si>
    <t>Sensor(s) involved</t>
  </si>
  <si>
    <t>Mention here the data conversion formulae</t>
  </si>
  <si>
    <t>Data storage medium</t>
  </si>
  <si>
    <t>Onboard recording</t>
  </si>
  <si>
    <t>Ground reception</t>
  </si>
  <si>
    <t>TELEMETRY</t>
  </si>
  <si>
    <t>Fill this section only if you plan to make use of a transmitter for your project</t>
  </si>
  <si>
    <t>* This mode is dedicated to the transmission of more than 4 analog signals. The range for each signal is 0 to 5V</t>
  </si>
  <si>
    <t>Main transmitter involved</t>
  </si>
  <si>
    <t>Radio-amateur Licence**</t>
  </si>
  <si>
    <t>Precise the type of telemetry</t>
  </si>
  <si>
    <t>Do you plan to develop your own software tool for telemetry decoding ?</t>
  </si>
  <si>
    <t>Do you plan for any other source of emission ?</t>
  </si>
  <si>
    <t>RECOVERY SYSTEM</t>
  </si>
  <si>
    <t>Precise the type of recovery system you plan to set up</t>
  </si>
  <si>
    <t>Precise the type of ejection you plan to set up</t>
  </si>
  <si>
    <t>Precise which system you plan to set up in order trigger and to eject your recovery system ?
(several choices allowed)</t>
  </si>
  <si>
    <t>Plug</t>
  </si>
  <si>
    <t>Magnection suction</t>
  </si>
  <si>
    <t>Timer</t>
  </si>
  <si>
    <t>Igniter</t>
  </si>
  <si>
    <t>Servo-Motor</t>
  </si>
  <si>
    <t>Pneumatic jack</t>
  </si>
  <si>
    <t>Other (precise)</t>
  </si>
  <si>
    <t>MECHANICS</t>
  </si>
  <si>
    <t>This section deals only with rockets. Skip it in case of Balloon.</t>
  </si>
  <si>
    <t>Number of fins</t>
  </si>
  <si>
    <t>What part of the rocket is bearing the thrust efforts ?</t>
  </si>
  <si>
    <t>ONBOARD PROCESSING</t>
  </si>
  <si>
    <t>Fill this section only if your project includes one or more microcontroler(s)</t>
  </si>
  <si>
    <t>Any  onboard processor or controler ?</t>
  </si>
  <si>
    <t>SAFETY</t>
  </si>
  <si>
    <t>*Pyrotechnic system is understood as any other igniter than Davey-Bickford type.</t>
  </si>
  <si>
    <t>Do you plan to make use of pyrotechnics* systems onboard ?</t>
  </si>
  <si>
    <t>Do you plan to make use of pneumatics systems onboard ?</t>
  </si>
  <si>
    <t>Do you plan to make use of one or several fumigatory systems onboard ?</t>
  </si>
  <si>
    <t>SUMMARY OF MATERIAL REQUIREMENTS</t>
  </si>
  <si>
    <t>Propellor</t>
  </si>
  <si>
    <t>Transmitter</t>
  </si>
  <si>
    <t>Other</t>
  </si>
  <si>
    <t>COMMENTS</t>
  </si>
  <si>
    <t>This section is dedicated for comments made by Planete Sciences about your project</t>
  </si>
  <si>
    <t>Will there be a request for dispensation related to the book of specifications ?</t>
  </si>
  <si>
    <t>Is this a special project ?</t>
  </si>
  <si>
    <t>Is a Risk Analysis requested ?</t>
  </si>
  <si>
    <t>FICHE TECHNIQUE DE PROJET EXPERIMENTAL</t>
  </si>
  <si>
    <t>A retourner 2 mois avant la date prévue du lâcher de ballon</t>
  </si>
  <si>
    <t>Cette fiche est obligatoire pour tout projet expérimental devant être lancé lors de la campagne nationale.</t>
  </si>
  <si>
    <t>A partir des renseignements saisis dans cette fiche, le CNES et Planète-Sciences valideront la faisabilité technique du projet.</t>
  </si>
  <si>
    <r>
      <t xml:space="preserve">Tous les éléments demandés sont obligatoires. </t>
    </r>
    <r>
      <rPr>
        <b/>
        <i/>
        <sz val="8"/>
        <color indexed="9"/>
        <rFont val="Arial"/>
        <family val="2"/>
      </rPr>
      <t>Tout élément manquant peut entraîner un refus de validation du projet</t>
    </r>
    <r>
      <rPr>
        <sz val="8"/>
        <color indexed="9"/>
        <rFont val="Arial"/>
        <family val="2"/>
      </rPr>
      <t>.</t>
    </r>
  </si>
  <si>
    <t>Les photos de parties de la fusée ou de la fusée elle-même sont bienvenues.</t>
  </si>
  <si>
    <t>Y-a-t-il une demande de dérogation au Cahier des Charges ?</t>
  </si>
  <si>
    <t>Si oui, veuillez joindre la demande de dérogation</t>
  </si>
  <si>
    <t>Veuillez joindre une copie de l'autorisation du radio-amateur (si nécessaire)</t>
  </si>
  <si>
    <t>Indiquez l'autonomie</t>
  </si>
  <si>
    <t>Y-a-t-il d'autre(s) source(s) d'émission</t>
  </si>
  <si>
    <t>Indiquez la vitesse de descente (m/s)</t>
  </si>
  <si>
    <t>Veuillez joindre un schéma général, à l'échelle, de la fusée</t>
  </si>
  <si>
    <t>Veuillez joindre le plan de la plaque de poussée</t>
  </si>
  <si>
    <t>STABILITE</t>
  </si>
  <si>
    <t>Veuillez joindre le fichier trajec de votre fusée (fichier .par)</t>
  </si>
  <si>
    <t>Y-a-t-il de l'informatique embarquée ?</t>
  </si>
  <si>
    <t>Oui</t>
  </si>
  <si>
    <t>Veuillez joindre les documents techniques et/ou constructeur liés aux systèmes utilisés dans votre fusée.</t>
  </si>
  <si>
    <t>Utilisez-vous des systèmes pyrotechniques* dans votre fusée ?</t>
  </si>
  <si>
    <t>Utilisez-vous des systèmes pneumatiques dans votre fusée ?</t>
  </si>
  <si>
    <t>Utilisez-vous un ou plusieurs fumigène(s) dans votre fusée ?</t>
  </si>
  <si>
    <t>Y-a-t-il un dossier de sécurité ?</t>
  </si>
  <si>
    <t>Si oui, veuillez joindre le dossier de sécurité</t>
  </si>
  <si>
    <t>Cette partie est réservée à Planète Sciences et au CNES pour y faire des remarques techniques concernant votre projet</t>
  </si>
  <si>
    <t>Planète Sciences</t>
  </si>
  <si>
    <t>CNES</t>
  </si>
  <si>
    <t>TECHNICAL FILE FOR EXPERIMENTAL PROJECT</t>
  </si>
  <si>
    <t>To be returned 2 months prior to the lift-off for the balloons</t>
  </si>
  <si>
    <t>This form is mandatory for any project that has to be set up during the national launching campaign.</t>
  </si>
  <si>
    <t>From the information contained in this form, CNES and Planète-Sciences will validate the feasibility of your project</t>
  </si>
  <si>
    <r>
      <t xml:space="preserve">All the information requested are manadatory. </t>
    </r>
    <r>
      <rPr>
        <b/>
        <sz val="8"/>
        <color indexed="9"/>
        <rFont val="Arial"/>
        <family val="2"/>
      </rPr>
      <t>Any missing information may lead to the validation refusal of the project</t>
    </r>
  </si>
  <si>
    <t>Pictures of parts of theproject or the overall project are welcome.</t>
  </si>
  <si>
    <t>Is there a request for dispensation related to the book of specifications ?</t>
  </si>
  <si>
    <t>If yes, attach the dispensation request</t>
  </si>
  <si>
    <t>Attach the autorisation from the radio-amateur (if necessary)</t>
  </si>
  <si>
    <t>Precise power autonomy</t>
  </si>
  <si>
    <t>Is there any other source of emission ?</t>
  </si>
  <si>
    <t>Precise the fall down speed (m/s)</t>
  </si>
  <si>
    <t>Please attach a drawing at scale of the overall rocket</t>
  </si>
  <si>
    <t>Please attach a sketch of the thrust plate</t>
  </si>
  <si>
    <t>STABILITY</t>
  </si>
  <si>
    <t>Please attach the trajec .par file of the rocket</t>
  </si>
  <si>
    <t>Please attached the technical files and/or datasheet related to the systems you are using.</t>
  </si>
  <si>
    <t>Do you use pyrotechnics* systems onboard ?</t>
  </si>
  <si>
    <t>Do you use pneumatics systems onboard ?</t>
  </si>
  <si>
    <t>Do you use of one or several fumigatory systems onboard ?</t>
  </si>
  <si>
    <t>Is a Risk Analysis available ?</t>
  </si>
  <si>
    <t>If yes, please attach the safety file</t>
  </si>
  <si>
    <t>This section is dedicated for technical comments made by CNES and Planete Sciences about your project</t>
  </si>
  <si>
    <t>FEUILLE DE POURCENTAGE</t>
  </si>
  <si>
    <t>Date de mise à jour</t>
  </si>
  <si>
    <t>MINIFUSEE</t>
  </si>
  <si>
    <t>Pourcentage atteint</t>
  </si>
  <si>
    <t>Pourcentage de l'expérience secondaire atteint</t>
  </si>
  <si>
    <t>Définition d'expérience</t>
  </si>
  <si>
    <t>Mécanique</t>
  </si>
  <si>
    <t>Stabilité</t>
  </si>
  <si>
    <t>Séquenceur</t>
  </si>
  <si>
    <t>Tous les documents dont il est question ici sont des documents internes au projet. Les fiches Planète-Sciences n'en font pas partie</t>
  </si>
  <si>
    <t>Total :</t>
  </si>
  <si>
    <t>/</t>
  </si>
  <si>
    <t>Commentaires :</t>
  </si>
  <si>
    <t>NON</t>
  </si>
  <si>
    <t>Partiel</t>
  </si>
  <si>
    <t>OUI</t>
  </si>
  <si>
    <t>Rappel :</t>
  </si>
  <si>
    <t xml:space="preserve">Il existe un document (autre que les fiches Planète-Sciences) … </t>
  </si>
  <si>
    <t>Max.</t>
  </si>
  <si>
    <t>Réel</t>
  </si>
  <si>
    <t xml:space="preserve"> - Principale : système de récupération</t>
  </si>
  <si>
    <t>… décrivant le fonctionnement du système de récupération</t>
  </si>
  <si>
    <t>Combien de bagues mécaniques comportent le projet :</t>
  </si>
  <si>
    <t>Plan déf°</t>
  </si>
  <si>
    <t>Réalisée</t>
  </si>
  <si>
    <t>Intégrée</t>
  </si>
  <si>
    <t>Nom bague 1:</t>
  </si>
  <si>
    <t>Nom bague 2:</t>
  </si>
  <si>
    <t>Nom bague 3:</t>
  </si>
  <si>
    <t>Nom bague 4:</t>
  </si>
  <si>
    <t>OUI
Partiel</t>
  </si>
  <si>
    <t>OUI tout</t>
  </si>
  <si>
    <t>Il est possible de demander à Planète Sciences un propulseur vide afin de tester la compatibilité propulseur</t>
  </si>
  <si>
    <t>L'ogive est-elle réalisée ?</t>
  </si>
  <si>
    <t>Les pièces de structure interne sont-elles réalisées ?</t>
  </si>
  <si>
    <t>Le corp de la fusée est il réalisé ?</t>
  </si>
  <si>
    <t>Le parachute de la fusée est il réalisé ?</t>
  </si>
  <si>
    <t>Pas testable</t>
  </si>
  <si>
    <t>NOK</t>
  </si>
  <si>
    <t>OK</t>
  </si>
  <si>
    <t xml:space="preserve">Résultat de la compatibilité propulseur </t>
  </si>
  <si>
    <t>Compatibilité rampe = jack, inter, ailerons</t>
  </si>
  <si>
    <t xml:space="preserve">Résultat de la compatibilité rampe </t>
  </si>
  <si>
    <t xml:space="preserve">
</t>
  </si>
  <si>
    <t>Valeur</t>
  </si>
  <si>
    <t>Critère</t>
  </si>
  <si>
    <t>Pas calculé</t>
  </si>
  <si>
    <t xml:space="preserve"> OK</t>
  </si>
  <si>
    <t>(0 si pas calculé)</t>
  </si>
  <si>
    <t>Vitesse de sortie de rampe :</t>
  </si>
  <si>
    <r>
      <t>≥ 20 m.s</t>
    </r>
    <r>
      <rPr>
        <vertAlign val="superscript"/>
        <sz val="10"/>
        <rFont val="Arial"/>
        <family val="2"/>
      </rPr>
      <t>-1</t>
    </r>
  </si>
  <si>
    <t>Finesse :</t>
  </si>
  <si>
    <t>10 ≤ Cf ≤ 35</t>
  </si>
  <si>
    <t>Portance :</t>
  </si>
  <si>
    <t>10 ≤ Cn ≤ 40</t>
  </si>
  <si>
    <t>Marge Statique :</t>
  </si>
  <si>
    <t>2 ≤ Ms ≤ 6</t>
  </si>
  <si>
    <t>Produit Ms x Cn :</t>
  </si>
  <si>
    <t>40 &lt; MsxCn (&lt; 100)</t>
  </si>
  <si>
    <t>Pb V en sortie</t>
  </si>
  <si>
    <t>La fusée répond elle aux critères de stabilité</t>
  </si>
  <si>
    <t>Dimen-
sionnés</t>
  </si>
  <si>
    <t>Réalisés</t>
  </si>
  <si>
    <t>Fixés</t>
  </si>
  <si>
    <t>Avancement des ailerons …</t>
  </si>
  <si>
    <t>Plan</t>
  </si>
  <si>
    <t>Réalisé</t>
  </si>
  <si>
    <t>Intégré</t>
  </si>
  <si>
    <t>Etat d'avancement de/du …</t>
  </si>
  <si>
    <t xml:space="preserve">Rappel : </t>
  </si>
  <si>
    <t>… toutes les pièces mécaniques relatives au système d'ouverture</t>
  </si>
  <si>
    <t>les témoins pour vérifier l'état du sytème peuvent tre visuels, sonores…</t>
  </si>
  <si>
    <t>… sécurité pyrotechnique</t>
  </si>
  <si>
    <t>… témoin de l'état réel du système</t>
  </si>
  <si>
    <t>Proto</t>
  </si>
  <si>
    <t>Carte soudée</t>
  </si>
  <si>
    <t>Carte testée</t>
  </si>
  <si>
    <t>La minuterie est au stade …</t>
  </si>
  <si>
    <t>OK 
1 fois</t>
  </si>
  <si>
    <t>OK 
3 fois</t>
  </si>
  <si>
    <t>Test totalement intégré du système de récupération</t>
  </si>
  <si>
    <t xml:space="preserve">  Ce test comprend Jack / Accéléro</t>
  </si>
  <si>
    <t xml:space="preserve">  jusqu'à la sortie du parachute</t>
  </si>
  <si>
    <t>Général</t>
  </si>
  <si>
    <t>Le cablage inter-cartes est-il réalisé ?</t>
  </si>
  <si>
    <t>La fusée fonctionne-t-elle avec sa source d'energie finale (Piles …)</t>
  </si>
  <si>
    <t>Existe-il un document de chronologie avant le vol ?</t>
  </si>
  <si>
    <t>… décrivant l'objectif de l'étude</t>
  </si>
  <si>
    <t>… consignant les expériences</t>
  </si>
  <si>
    <t>Pour l'étude …</t>
  </si>
  <si>
    <t>… combien de paramètres physiques sont mesurés à bord :</t>
  </si>
  <si>
    <t>Avec Justification</t>
  </si>
  <si>
    <t>Il existe un doc consignant pour le …</t>
  </si>
  <si>
    <t>Exemple :</t>
  </si>
  <si>
    <t>…paramètre 1:</t>
  </si>
  <si>
    <t xml:space="preserve">    - Paramètre = Altitude </t>
  </si>
  <si>
    <t>Domaine de variation</t>
  </si>
  <si>
    <r>
      <t xml:space="preserve">    - D de Variation : 0m </t>
    </r>
    <r>
      <rPr>
        <i/>
        <sz val="10"/>
        <rFont val="Wingdings"/>
        <family val="0"/>
      </rPr>
      <t>è</t>
    </r>
    <r>
      <rPr>
        <i/>
        <sz val="10"/>
        <rFont val="Arial"/>
        <family val="2"/>
      </rPr>
      <t xml:space="preserve"> 750m</t>
    </r>
  </si>
  <si>
    <t>Précision attendue</t>
  </si>
  <si>
    <t xml:space="preserve">    - Précision : ± 3m</t>
  </si>
  <si>
    <t>Grandeur effectivement mesurée</t>
  </si>
  <si>
    <t xml:space="preserve">    - Mesure : Press° Atmosphérique</t>
  </si>
  <si>
    <t>Formule de conversion (Mesure &gt; Paramètre)</t>
  </si>
  <si>
    <t xml:space="preserve">    - Altitude (m) = 3,14 x P (en Pa)</t>
  </si>
  <si>
    <t>Evaluation des erreurs de mesures</t>
  </si>
  <si>
    <t xml:space="preserve">    - Erreur : ± 1,414Pa soit 4,4m</t>
  </si>
  <si>
    <t>Méthode d'étalonnage</t>
  </si>
  <si>
    <t xml:space="preserve">    - Méthode : 6 pts au manomètre </t>
  </si>
  <si>
    <t>…paramètre 2:</t>
  </si>
  <si>
    <t>Precisison attendue</t>
  </si>
  <si>
    <t>un paramètre peut être mesuré
en plusieurs point de la fusée
càd 1 paramètre = plusieurs capteurs</t>
  </si>
  <si>
    <t>Expérience</t>
  </si>
  <si>
    <r>
      <t>Combien de carte élec comporte le projet</t>
    </r>
    <r>
      <rPr>
        <i/>
        <sz val="10"/>
        <rFont val="Arial"/>
        <family val="2"/>
      </rPr>
      <t xml:space="preserve"> (hors séquenceur)</t>
    </r>
    <r>
      <rPr>
        <b/>
        <sz val="10"/>
        <rFont val="Arial"/>
        <family val="2"/>
      </rPr>
      <t xml:space="preserve"> :</t>
    </r>
  </si>
  <si>
    <t>Carte Soudée</t>
  </si>
  <si>
    <t>Carte Testée</t>
  </si>
  <si>
    <t>Doc.  Minimale</t>
  </si>
  <si>
    <t xml:space="preserve">"Doc. Minimale" = impression de </t>
  </si>
  <si>
    <t xml:space="preserve">       - Schéma électrique</t>
  </si>
  <si>
    <t>Carte élec 1:</t>
  </si>
  <si>
    <t xml:space="preserve">       - Routage</t>
  </si>
  <si>
    <t>Carte élec 2:</t>
  </si>
  <si>
    <t xml:space="preserve">       - Plan d'implantat° des compo</t>
  </si>
  <si>
    <t>Carte élec 3:</t>
  </si>
  <si>
    <t>dans la version de la carte actuelle</t>
  </si>
  <si>
    <t>Carte élec 4:</t>
  </si>
  <si>
    <t>Carte élec 5:</t>
  </si>
  <si>
    <t>Carte élec 6:</t>
  </si>
  <si>
    <t>Il existe un …</t>
  </si>
  <si>
    <t>… plan de cablage général de toutes les cartes</t>
  </si>
  <si>
    <t>… plan précisant l'intégration électronique / mécanique</t>
  </si>
  <si>
    <t>Etalonnage des capteurs …</t>
  </si>
  <si>
    <t>Combien de capteurs comporte le projet :</t>
  </si>
  <si>
    <t>Non Etalonné</t>
  </si>
  <si>
    <t>Etalonné
≤3 pts</t>
  </si>
  <si>
    <t>Etalonné
≥3 pts</t>
  </si>
  <si>
    <t>Pour étaloner les capteurs, la mesure doit se faire à l'entrée de l'émetteur</t>
  </si>
  <si>
    <t xml:space="preserve">  Capteur 1:</t>
  </si>
  <si>
    <t xml:space="preserve">  Capteur 2:</t>
  </si>
  <si>
    <t xml:space="preserve">  Capteur 3:</t>
  </si>
  <si>
    <t xml:space="preserve">  Capteur 4:</t>
  </si>
  <si>
    <t xml:space="preserve">  Capteur 5:</t>
  </si>
  <si>
    <t>Télémesure / Stockage</t>
  </si>
  <si>
    <t>Le projet comporte …</t>
  </si>
  <si>
    <t xml:space="preserve">… une télémesure </t>
  </si>
  <si>
    <t>… une sauvegarde des données installée dans la fusée</t>
  </si>
  <si>
    <t>Pour la télémesure …</t>
  </si>
  <si>
    <t>Démo impossible</t>
  </si>
  <si>
    <t>Test - NOK</t>
  </si>
  <si>
    <t>Test - OK</t>
  </si>
  <si>
    <t>Démonstration de [codage / émission / réception / décodage]</t>
  </si>
  <si>
    <t>Pour le stockage …</t>
  </si>
  <si>
    <t>Démonstration de "codage / stockage / lecture / décodage"</t>
  </si>
  <si>
    <t>PERCENTAGE FORM</t>
  </si>
  <si>
    <t>Project Name</t>
  </si>
  <si>
    <t>Update date</t>
  </si>
  <si>
    <t>Project Type</t>
  </si>
  <si>
    <t>Percentage reached</t>
  </si>
  <si>
    <t>Secondary experiment percentage reached</t>
  </si>
  <si>
    <t>Experiment definition</t>
  </si>
  <si>
    <t>Global</t>
  </si>
  <si>
    <t>Mecahnical parts</t>
  </si>
  <si>
    <t>Stability</t>
  </si>
  <si>
    <t>Experiment</t>
  </si>
  <si>
    <t>Sequencer</t>
  </si>
  <si>
    <t>Telemetry/storage</t>
  </si>
  <si>
    <t>All the documents mentioned below are belonging to the project and are not referring to the Planète Sciences forms.</t>
  </si>
  <si>
    <t>Comments:</t>
  </si>
  <si>
    <t>NO</t>
  </si>
  <si>
    <t>Partly</t>
  </si>
  <si>
    <t>YES</t>
  </si>
  <si>
    <t>Reminder:</t>
  </si>
  <si>
    <t>Availability of a document (other than the Planète Scicence forms)…</t>
  </si>
  <si>
    <t>Real</t>
  </si>
  <si>
    <t xml:space="preserve"> - Main: recovery system</t>
  </si>
  <si>
    <t>… describing how the recovery system works</t>
  </si>
  <si>
    <t>Mechanical parts</t>
  </si>
  <si>
    <t>How many mechanical rings are included in your project ?</t>
  </si>
  <si>
    <t>Def. Sketch</t>
  </si>
  <si>
    <t>Done</t>
  </si>
  <si>
    <t>Integrated</t>
  </si>
  <si>
    <t>#1 ring name</t>
  </si>
  <si>
    <t>#2 ring name</t>
  </si>
  <si>
    <t>#3 ring name</t>
  </si>
  <si>
    <t>#4 ring name</t>
  </si>
  <si>
    <t>YES all</t>
  </si>
  <si>
    <t xml:space="preserve">You may request Planète Sciences to provide you with an empty propeller for the purpose of mecahnical tests </t>
  </si>
  <si>
    <t>Is the nose cone manufactured ?</t>
  </si>
  <si>
    <t>Are the parts of the internal structure manufactured ?</t>
  </si>
  <si>
    <t>Is the body ofthe rocket manufactured ?</t>
  </si>
  <si>
    <t>Is the parachute manufactured ?</t>
  </si>
  <si>
    <t>Cannot be tested</t>
  </si>
  <si>
    <t>Not OK</t>
  </si>
  <si>
    <t>Propeller compatibility test result</t>
  </si>
  <si>
    <t>Launching pad compatibility : plug, switch, fins</t>
  </si>
  <si>
    <t>Launching pad compatibility test result</t>
  </si>
  <si>
    <t>Value</t>
  </si>
  <si>
    <t>Criterion</t>
  </si>
  <si>
    <t>Not calculated</t>
  </si>
  <si>
    <t>(0 if not calculated)</t>
  </si>
  <si>
    <t>Out pad speed</t>
  </si>
  <si>
    <t>Lift to drag ratio (Cf)</t>
  </si>
  <si>
    <t>Lift (Cn)</t>
  </si>
  <si>
    <t>Static margin (MS)</t>
  </si>
  <si>
    <t>Ms x Cn product</t>
  </si>
  <si>
    <t>Out speed problem</t>
  </si>
  <si>
    <t>Is the rocket compatible with the stability criterions ?</t>
  </si>
  <si>
    <t>Dimensionned</t>
  </si>
  <si>
    <t>Attached</t>
  </si>
  <si>
    <t>Progress on the fins…</t>
  </si>
  <si>
    <t>Sketch</t>
  </si>
  <si>
    <t>Progress status of…</t>
  </si>
  <si>
    <t>… all the mecanical parts related to the recovery system</t>
  </si>
  <si>
    <t>Indicators aim at describing the system status can be visual, audible…</t>
  </si>
  <si>
    <t>… pyrotechnic safety</t>
  </si>
  <si>
    <t>… actual system status indicator</t>
  </si>
  <si>
    <t>Prototype</t>
  </si>
  <si>
    <t>PCB soldered</t>
  </si>
  <si>
    <t>Board tested</t>
  </si>
  <si>
    <t>Timer system has reached the status of…</t>
  </si>
  <si>
    <t>OK 
1 time</t>
  </si>
  <si>
    <t>OK 
3 times</t>
  </si>
  <si>
    <t>Complete test of the integrated recovery system</t>
  </si>
  <si>
    <t>This test starts from the trigger,accelerometer…ends with the parachute ejection.</t>
  </si>
  <si>
    <t>Is inter boards wiring done ?</t>
  </si>
  <si>
    <t>Is the rocket powered with its final source of energy (batteries…)</t>
  </si>
  <si>
    <t>Is the pre-flight chronological tasklist available ?</t>
  </si>
  <si>
    <t>… describing the purpose and aim of the study</t>
  </si>
  <si>
    <t>… listing the experiments</t>
  </si>
  <si>
    <t>For the study…..</t>
  </si>
  <si>
    <t>… how many parameters are measured onboard the rocket ?</t>
  </si>
  <si>
    <t>With justification</t>
  </si>
  <si>
    <t>Availability of a description document for the…</t>
  </si>
  <si>
    <t>Example :</t>
  </si>
  <si>
    <t>…parametre #1:</t>
  </si>
  <si>
    <t xml:space="preserve">    - Parametre = Altitude </t>
  </si>
  <si>
    <t>Variation range</t>
  </si>
  <si>
    <r>
      <t xml:space="preserve">    - Variation Range : 0m </t>
    </r>
    <r>
      <rPr>
        <i/>
        <sz val="10"/>
        <rFont val="Wingdings"/>
        <family val="0"/>
      </rPr>
      <t>è</t>
    </r>
    <r>
      <rPr>
        <i/>
        <sz val="10"/>
        <rFont val="Arial"/>
        <family val="2"/>
      </rPr>
      <t xml:space="preserve"> 750m</t>
    </r>
  </si>
  <si>
    <t>Expected precision</t>
  </si>
  <si>
    <t xml:space="preserve">    - Precision : ± 3m</t>
  </si>
  <si>
    <t>Actual measure</t>
  </si>
  <si>
    <t xml:space="preserve">    - Measure : Atmosphere pressure</t>
  </si>
  <si>
    <t>Conversion formula (Measure &gt; Parametre)</t>
  </si>
  <si>
    <t xml:space="preserve">    - Altitude (m) = 3,14 x P (in Pa)</t>
  </si>
  <si>
    <t>Measurement errors evaluation</t>
  </si>
  <si>
    <t xml:space="preserve">    - Error : ± 1,414Pa, ie 4,4m</t>
  </si>
  <si>
    <t>Calibration methodology</t>
  </si>
  <si>
    <t xml:space="preserve">    - Methodology : 6 pts with manometre </t>
  </si>
  <si>
    <t>…parametre #2:</t>
  </si>
  <si>
    <t>One parametre may be measured
in severalpoints in the rocket
that is to say 1 parameter = several sensors</t>
  </si>
  <si>
    <t>How many electronic boards onboard (except sequencer) ?</t>
  </si>
  <si>
    <t>Soldered</t>
  </si>
  <si>
    <t>Tested</t>
  </si>
  <si>
    <t>Minimum Doc.</t>
  </si>
  <si>
    <t>"Minimum Doc" = printout of</t>
  </si>
  <si>
    <t xml:space="preserve">       - Electronics schematics</t>
  </si>
  <si>
    <t>Elec. Board #1:</t>
  </si>
  <si>
    <t xml:space="preserve">       - Routing</t>
  </si>
  <si>
    <t>Elec. Board #2:</t>
  </si>
  <si>
    <t xml:space="preserve">       - Placement of the parts on PCB</t>
  </si>
  <si>
    <t>Elec. Board #3:</t>
  </si>
  <si>
    <t>in the current available version</t>
  </si>
  <si>
    <t>Elec. Board #4:</t>
  </si>
  <si>
    <t>Elec. Board #5:</t>
  </si>
  <si>
    <t>Elec. Board #6:</t>
  </si>
  <si>
    <t>Availability of…</t>
  </si>
  <si>
    <t>… a global wiring map of all the boards</t>
  </si>
  <si>
    <t>… a drawing describing electromechanics integration</t>
  </si>
  <si>
    <t>Sensors calibration…</t>
  </si>
  <si>
    <t>How many sensors onboard ?</t>
  </si>
  <si>
    <t>Not calibrated</t>
  </si>
  <si>
    <t>Calibrated with ≤3 points</t>
  </si>
  <si>
    <t>Calibrated with ≥3 pts</t>
  </si>
  <si>
    <t>Sensors calibration must be performed from the input of the transmitter</t>
  </si>
  <si>
    <t>Sensor #1:</t>
  </si>
  <si>
    <t>Sensor #2:</t>
  </si>
  <si>
    <t>Sensor #3:</t>
  </si>
  <si>
    <t>Sensor #4:</t>
  </si>
  <si>
    <t>Sensor #5:</t>
  </si>
  <si>
    <t>Telemetry / Storage</t>
  </si>
  <si>
    <t>The project includes…</t>
  </si>
  <si>
    <t>… a telemetry system</t>
  </si>
  <si>
    <t>… a data storage device inside the rocket</t>
  </si>
  <si>
    <t>For telemetry…</t>
  </si>
  <si>
    <t>Not demonstrable</t>
  </si>
  <si>
    <t>Tested - 
Not OK</t>
  </si>
  <si>
    <t>Tested - OK</t>
  </si>
  <si>
    <t>[Coding/transmission/reception/decoding] has been demonstrated</t>
  </si>
  <si>
    <t>For storage…</t>
  </si>
  <si>
    <t>FUSEX</t>
  </si>
  <si>
    <t>Informatique</t>
  </si>
  <si>
    <t>Pour remplir cette fiche, mettre un 'x' dans les cases (ou un chiffre quand c'est demandé)</t>
  </si>
  <si>
    <t>Total</t>
  </si>
  <si>
    <t xml:space="preserve">    - Principale : mon projet n'a pas</t>
  </si>
  <si>
    <t>… décrivant le but de/des expériences</t>
  </si>
  <si>
    <t xml:space="preserve">      lieu d'être sans. </t>
  </si>
  <si>
    <t>… consignant les expériences principales et secondaires</t>
  </si>
  <si>
    <t xml:space="preserve">    - Secondaire : non vital au projet</t>
  </si>
  <si>
    <t>Pour les expériences principales …</t>
  </si>
  <si>
    <t xml:space="preserve">     - un paramètre peut être mesuré</t>
  </si>
  <si>
    <t xml:space="preserve">       en plusieurs point de la Fusex</t>
  </si>
  <si>
    <t xml:space="preserve">       càd 1 paramètre = pls capteurs</t>
  </si>
  <si>
    <t>…paramètre 3:</t>
  </si>
  <si>
    <t>…paramètre 4:</t>
  </si>
  <si>
    <t>…paramètre 5:</t>
  </si>
  <si>
    <t>…paramètre 6:</t>
  </si>
  <si>
    <t>Non fait</t>
  </si>
  <si>
    <t>Nom bague 5:</t>
  </si>
  <si>
    <t>Nom bague 6:</t>
  </si>
  <si>
    <t>Les peaux sont-elles réalisées ?</t>
  </si>
  <si>
    <t>Carte Réalisée</t>
  </si>
  <si>
    <t xml:space="preserve"> Capteur 1:</t>
  </si>
  <si>
    <t xml:space="preserve"> Capteur 2:</t>
  </si>
  <si>
    <t xml:space="preserve"> Capteur 3:</t>
  </si>
  <si>
    <t xml:space="preserve"> Capteur 4:</t>
  </si>
  <si>
    <t xml:space="preserve"> Capteur 5:</t>
  </si>
  <si>
    <t xml:space="preserve"> Capteur 6:</t>
  </si>
  <si>
    <t xml:space="preserve">  Intégrat° parachute = compatibilité</t>
  </si>
  <si>
    <t>… parachute</t>
  </si>
  <si>
    <t xml:space="preserve">  avec la case parachute.</t>
  </si>
  <si>
    <t>Combien de microcontrolleur comporte la fusex ?</t>
  </si>
  <si>
    <t>Marche sur
carte finale</t>
  </si>
  <si>
    <t>Marche dans 
la fusex</t>
  </si>
  <si>
    <t>Etat d'avancement du programme pour  …</t>
  </si>
  <si>
    <t>Nom microcontrolleur 1 :</t>
  </si>
  <si>
    <t>Nom microcontrolleur 2 :</t>
  </si>
  <si>
    <t>Nom microcontrolleur 3 :</t>
  </si>
  <si>
    <t>Nom microcontrolleur 4 :</t>
  </si>
  <si>
    <t>Nom microcontrolleur 5 :</t>
  </si>
  <si>
    <t>Nom microcontrolleur 6 :</t>
  </si>
  <si>
    <t xml:space="preserve">    Compatibilité rampe = jack, inter,</t>
  </si>
  <si>
    <t>La compatibilité rampe est-elle bonne ?</t>
  </si>
  <si>
    <t xml:space="preserve">    Ailerons ….</t>
  </si>
  <si>
    <t>Mechanics</t>
  </si>
  <si>
    <t>Onboard process</t>
  </si>
  <si>
    <t>Parlty</t>
  </si>
  <si>
    <t>For the main experiments…</t>
  </si>
  <si>
    <t>…parameter #1:</t>
  </si>
  <si>
    <t>…parameter #2:</t>
  </si>
  <si>
    <t xml:space="preserve">Reminder: </t>
  </si>
  <si>
    <t>…parameter #3:</t>
  </si>
  <si>
    <t>…parameter #4:</t>
  </si>
  <si>
    <t>…parameter #5:</t>
  </si>
  <si>
    <t>…parameter #6:</t>
  </si>
  <si>
    <t>#5 ring name</t>
  </si>
  <si>
    <t>#6 ring name</t>
  </si>
  <si>
    <t xml:space="preserve">    - Main : a project means nothing    
    without it.</t>
  </si>
  <si>
    <t xml:space="preserve">    - Secondary : will not lead to the 
    project cancellation if not present</t>
  </si>
  <si>
    <t>Are the skins manufactured ?</t>
  </si>
  <si>
    <t>Not done</t>
  </si>
  <si>
    <t>Board done</t>
  </si>
  <si>
    <t>Sensor #6:</t>
  </si>
  <si>
    <t>Parachute integration = compatibility with the parachute room</t>
  </si>
  <si>
    <t>Onboard processing</t>
  </si>
  <si>
    <t>How many processors onboard ?</t>
  </si>
  <si>
    <t>Notedone</t>
  </si>
  <si>
    <t>Runs on final board</t>
  </si>
  <si>
    <t>Runs in the Fusex</t>
  </si>
  <si>
    <t>Code progress for…</t>
  </si>
  <si>
    <t>Microcontroler #1 :</t>
  </si>
  <si>
    <t>Microcontroler #2 :</t>
  </si>
  <si>
    <t>Microcontroler #3 :</t>
  </si>
  <si>
    <t>Microcontroler #4 :</t>
  </si>
  <si>
    <t>Microcontroler #5 :</t>
  </si>
  <si>
    <t>Microcontroler #6 :</t>
  </si>
  <si>
    <t>Fiche de demande de dérogation</t>
  </si>
  <si>
    <t>Cette fiche de demande de dérogation est obligatoire pour tout projet faisant l'objet 
d'une demande de dérogation à une règle du Cahier des Charges.</t>
  </si>
  <si>
    <t>A partir des informations contenues dans cette fiche, le CNES et Planète Sciences analyseront et accepteront ou non la demande;</t>
  </si>
  <si>
    <t>DEMANDE DE DEROGATION</t>
  </si>
  <si>
    <t>Indiquez la règle que vous souhaitez déroger</t>
  </si>
  <si>
    <t>Pourquoi ?</t>
  </si>
  <si>
    <t>Avez vous réalisé une analyse de risques ?</t>
  </si>
  <si>
    <t>Quel est l'impact pour votre projet si la demande est refusé</t>
  </si>
  <si>
    <t>Précisez</t>
  </si>
  <si>
    <t>La demande de dérogation au Cahier des Charges est elle aceptée ?</t>
  </si>
  <si>
    <t>Dispensation request file</t>
  </si>
  <si>
    <t>This dispensation request form is mandatory for any project which requires a dispensation related to the Book of Specifications.</t>
  </si>
  <si>
    <t>From the information provided in this form, CNES and Planète Sciences will analyse and accept or not the request.</t>
  </si>
  <si>
    <t>DISPENSATION REQUEST</t>
  </si>
  <si>
    <t>For which rule do you request for dispensation ?</t>
  </si>
  <si>
    <t>Why ?</t>
  </si>
  <si>
    <t>Did you prepare a risk analysis ?</t>
  </si>
  <si>
    <t>What is the consequence for your project in case if the dispensation is not granted ?</t>
  </si>
  <si>
    <t>Precise</t>
  </si>
  <si>
    <t>Is the request for dispensation related to the book of specifications granted ?</t>
  </si>
  <si>
    <t>La fiche de déclaration a-t-elle été revue ?</t>
  </si>
  <si>
    <t>Les données ont-elles été saisies sur la page internet ?</t>
  </si>
  <si>
    <t>Un retour au club a-t-il été fait ?</t>
  </si>
  <si>
    <t>La fiche de définition a-t-elle été revue ?</t>
  </si>
  <si>
    <t>La fiche technique a-t-elle été revue ?</t>
  </si>
  <si>
    <t>La fiche de qualification a-t-elle été revue ?</t>
  </si>
  <si>
    <t>Projet</t>
  </si>
  <si>
    <t>Télémesure</t>
  </si>
  <si>
    <t>Ralentisseur</t>
  </si>
  <si>
    <t>Ejection</t>
  </si>
  <si>
    <t>Structure</t>
  </si>
  <si>
    <t>Lieu de mise en œuvre</t>
  </si>
  <si>
    <t>Compétence</t>
  </si>
  <si>
    <t>Viroles</t>
  </si>
  <si>
    <t>Question</t>
  </si>
  <si>
    <t>Impact dérog</t>
  </si>
  <si>
    <t>Fusée Expérimentale</t>
  </si>
  <si>
    <t>Aucun</t>
  </si>
  <si>
    <t>Analogique - IRIG</t>
  </si>
  <si>
    <t>Parachute</t>
  </si>
  <si>
    <t>Ouverture transversale</t>
  </si>
  <si>
    <t>La peau</t>
  </si>
  <si>
    <t>Virole Isard</t>
  </si>
  <si>
    <t>Pas d'impact</t>
  </si>
  <si>
    <t>Ballon Expérimental</t>
  </si>
  <si>
    <t>Wapiti</t>
  </si>
  <si>
    <t>Kiwi Millenium</t>
  </si>
  <si>
    <t>Analogique - mode Kiwi Millenium*</t>
  </si>
  <si>
    <t>Porte latérale</t>
  </si>
  <si>
    <t>La structure interne</t>
  </si>
  <si>
    <t>Festiciels de Normandie</t>
  </si>
  <si>
    <t>Aérodynamique</t>
  </si>
  <si>
    <t>Virole Chamois</t>
  </si>
  <si>
    <t>Non</t>
  </si>
  <si>
    <t>Peu d'impact</t>
  </si>
  <si>
    <t>Minifusée Expérimentale</t>
  </si>
  <si>
    <t xml:space="preserve">Cariacou </t>
  </si>
  <si>
    <t>Numérique</t>
  </si>
  <si>
    <t>Festiciels d'Altantique</t>
  </si>
  <si>
    <t>Patissier</t>
  </si>
  <si>
    <t>Le projet est abandoné</t>
  </si>
  <si>
    <t>Minifusée</t>
  </si>
  <si>
    <t>Barasinga (Pro54-5G)</t>
  </si>
  <si>
    <t>Festiciels de Midi Pyrénnées</t>
  </si>
  <si>
    <t>Electronique</t>
  </si>
  <si>
    <t>Festiciels de Rhône Alpes</t>
  </si>
  <si>
    <t>Campagne Nationale*</t>
  </si>
  <si>
    <t>Ballon (précisez)</t>
  </si>
  <si>
    <t>Project</t>
  </si>
  <si>
    <t>Telemetry</t>
  </si>
  <si>
    <t>Recovery system</t>
  </si>
  <si>
    <t>Mecahnical Structure</t>
  </si>
  <si>
    <t>Implementation site</t>
  </si>
  <si>
    <t>Skill</t>
  </si>
  <si>
    <t>Fin holder</t>
  </si>
  <si>
    <t>Dispensation consequence</t>
  </si>
  <si>
    <t>Experimental rocket</t>
  </si>
  <si>
    <t>None</t>
  </si>
  <si>
    <t>Analog on IRIG</t>
  </si>
  <si>
    <t>Transverse partition</t>
  </si>
  <si>
    <t>Skin</t>
  </si>
  <si>
    <t>Fin holder on Isard</t>
  </si>
  <si>
    <t>Yes</t>
  </si>
  <si>
    <t>No consequence</t>
  </si>
  <si>
    <t>Experimental balloon</t>
  </si>
  <si>
    <t>Analog on Kiwi Millenium*</t>
  </si>
  <si>
    <t>Lateral door</t>
  </si>
  <si>
    <t>Internal structure</t>
  </si>
  <si>
    <t>Festiciels in Normandy</t>
  </si>
  <si>
    <t>Aerodynamism</t>
  </si>
  <si>
    <t>Fin holder on Chamois</t>
  </si>
  <si>
    <t>No</t>
  </si>
  <si>
    <t>Low consequence</t>
  </si>
  <si>
    <t>Experimental minirocket</t>
  </si>
  <si>
    <t>Cariacou</t>
  </si>
  <si>
    <t>Digital</t>
  </si>
  <si>
    <t>Festiciels in Atlantique</t>
  </si>
  <si>
    <t>Cooking</t>
  </si>
  <si>
    <t>Project cancelled</t>
  </si>
  <si>
    <t>Minirocket</t>
  </si>
  <si>
    <t>Festiciels in Midi Pyrenées</t>
  </si>
  <si>
    <t>Electronics</t>
  </si>
  <si>
    <t>Festiciels in Rhône Alpes</t>
  </si>
  <si>
    <t>Coding</t>
  </si>
  <si>
    <t>National campaign*</t>
  </si>
  <si>
    <t>Balloon (precise)</t>
  </si>
  <si>
    <t>ANNEE</t>
  </si>
  <si>
    <t>DATES DE RETOUR</t>
  </si>
  <si>
    <t>RETURN DATES</t>
  </si>
  <si>
    <t>Paramètre(s) physique à étudier
(précisez les unités)</t>
  </si>
  <si>
    <t>Orignal (Pro75-3G)</t>
  </si>
  <si>
    <t>Veuillez joindre à ce dossier de projet une photo de l'équipe que nous afficherons en ligne sur notre site web</t>
  </si>
  <si>
    <t>Indiquez l'autonomie globale du sytème (s)</t>
  </si>
  <si>
    <t>Precise the autonomy of the system (s)</t>
  </si>
  <si>
    <t>V02.10.11</t>
  </si>
  <si>
    <t>2011-2012</t>
  </si>
  <si>
    <t>31 décembre 2011</t>
  </si>
  <si>
    <t>27 janvier 2012</t>
  </si>
  <si>
    <t>June 2nd 2012</t>
  </si>
  <si>
    <t>2 juin 2012</t>
  </si>
  <si>
    <t>December 31st 2011</t>
  </si>
  <si>
    <t>January 27th 2012</t>
  </si>
  <si>
    <t>17 mars 2012</t>
  </si>
  <si>
    <t>March17th 2012</t>
  </si>
  <si>
    <t>DGA-EM Biscarrosse</t>
  </si>
  <si>
    <t>Mesures inertielles par centrales embarquées, restitution des performances et de la trajectoire</t>
  </si>
  <si>
    <t>2250MHz</t>
  </si>
  <si>
    <t>1W</t>
  </si>
  <si>
    <t>Module GPS pour récupération 869MHz / Balise Marshall GONIO 214MHz</t>
  </si>
  <si>
    <t>Octave</t>
  </si>
  <si>
    <t>Système de récupération par double parachute, éjection d'un CANSAT à culmination</t>
  </si>
  <si>
    <t>PERSEUS Ares07EvoP2 (Ares-EVE4)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</si>
</sst>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</numFmts>
  <fonts count="84"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i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i/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sz val="8"/>
      <color indexed="9"/>
      <name val="Arial"/>
      <family val="2"/>
    </font>
    <font>
      <u val="single"/>
      <sz val="12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Wingdings"/>
      <family val="0"/>
    </font>
    <font>
      <i/>
      <sz val="7"/>
      <name val="Arial"/>
      <family val="2"/>
    </font>
    <font>
      <b/>
      <sz val="14"/>
      <color indexed="12"/>
      <name val="Arial"/>
      <family val="2"/>
    </font>
    <font>
      <b/>
      <i/>
      <sz val="10"/>
      <color indexed="22"/>
      <name val="Arial"/>
      <family val="2"/>
    </font>
    <font>
      <b/>
      <i/>
      <sz val="9"/>
      <color indexed="9"/>
      <name val="Arial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8" fillId="35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" fillId="33" borderId="0" xfId="0" applyFont="1" applyFill="1" applyAlignment="1">
      <alignment/>
    </xf>
    <xf numFmtId="15" fontId="12" fillId="33" borderId="0" xfId="0" applyNumberFormat="1" applyFont="1" applyFill="1" applyBorder="1" applyAlignment="1">
      <alignment horizontal="left"/>
    </xf>
    <xf numFmtId="0" fontId="12" fillId="33" borderId="11" xfId="0" applyFont="1" applyFill="1" applyBorder="1" applyAlignment="1">
      <alignment/>
    </xf>
    <xf numFmtId="0" fontId="15" fillId="36" borderId="0" xfId="0" applyFont="1" applyFill="1" applyAlignment="1">
      <alignment horizontal="left"/>
    </xf>
    <xf numFmtId="0" fontId="16" fillId="0" borderId="25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6" fillId="0" borderId="10" xfId="0" applyFont="1" applyBorder="1" applyAlignment="1">
      <alignment horizontal="right"/>
    </xf>
    <xf numFmtId="0" fontId="17" fillId="0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8" fillId="34" borderId="26" xfId="0" applyFont="1" applyFill="1" applyBorder="1" applyAlignment="1">
      <alignment/>
    </xf>
    <xf numFmtId="0" fontId="18" fillId="34" borderId="2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0" fillId="36" borderId="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" fillId="36" borderId="28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Border="1" applyAlignment="1">
      <alignment horizontal="right"/>
    </xf>
    <xf numFmtId="0" fontId="25" fillId="0" borderId="11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>
      <alignment horizontal="right"/>
    </xf>
    <xf numFmtId="0" fontId="8" fillId="0" borderId="11" xfId="0" applyFont="1" applyBorder="1" applyAlignment="1">
      <alignment/>
    </xf>
    <xf numFmtId="0" fontId="24" fillId="0" borderId="28" xfId="0" applyFont="1" applyFill="1" applyBorder="1" applyAlignment="1">
      <alignment horizontal="right"/>
    </xf>
    <xf numFmtId="0" fontId="8" fillId="36" borderId="10" xfId="0" applyFont="1" applyFill="1" applyBorder="1" applyAlignment="1">
      <alignment horizontal="right"/>
    </xf>
    <xf numFmtId="0" fontId="8" fillId="36" borderId="0" xfId="0" applyFont="1" applyFill="1" applyBorder="1" applyAlignment="1">
      <alignment horizontal="right"/>
    </xf>
    <xf numFmtId="0" fontId="8" fillId="36" borderId="11" xfId="0" applyFont="1" applyFill="1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Font="1" applyBorder="1" applyAlignment="1" applyProtection="1">
      <alignment/>
      <protection locked="0"/>
    </xf>
    <xf numFmtId="0" fontId="19" fillId="36" borderId="25" xfId="0" applyFont="1" applyFill="1" applyBorder="1" applyAlignment="1">
      <alignment horizontal="right"/>
    </xf>
    <xf numFmtId="0" fontId="19" fillId="36" borderId="28" xfId="0" applyFont="1" applyFill="1" applyBorder="1" applyAlignment="1">
      <alignment horizontal="right"/>
    </xf>
    <xf numFmtId="0" fontId="1" fillId="36" borderId="31" xfId="0" applyFont="1" applyFill="1" applyBorder="1" applyAlignment="1">
      <alignment horizontal="right"/>
    </xf>
    <xf numFmtId="0" fontId="0" fillId="36" borderId="0" xfId="0" applyFont="1" applyFill="1" applyBorder="1" applyAlignment="1" applyProtection="1">
      <alignment horizontal="left"/>
      <protection locked="0"/>
    </xf>
    <xf numFmtId="0" fontId="0" fillId="36" borderId="3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0" xfId="0" applyFont="1" applyFill="1" applyBorder="1" applyAlignment="1" applyProtection="1">
      <alignment horizontal="right"/>
      <protection locked="0"/>
    </xf>
    <xf numFmtId="0" fontId="28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>
      <alignment horizontal="right"/>
    </xf>
    <xf numFmtId="0" fontId="23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right"/>
    </xf>
    <xf numFmtId="0" fontId="28" fillId="36" borderId="32" xfId="0" applyNumberFormat="1" applyFont="1" applyFill="1" applyBorder="1" applyAlignment="1" applyProtection="1">
      <alignment/>
      <protection locked="0"/>
    </xf>
    <xf numFmtId="0" fontId="23" fillId="36" borderId="32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>
      <alignment horizontal="right" vertical="center"/>
    </xf>
    <xf numFmtId="0" fontId="28" fillId="36" borderId="0" xfId="0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/>
      <protection/>
    </xf>
    <xf numFmtId="0" fontId="31" fillId="0" borderId="0" xfId="0" applyFont="1" applyFill="1" applyAlignment="1">
      <alignment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36" borderId="0" xfId="0" applyFont="1" applyFill="1" applyBorder="1" applyAlignment="1" applyProtection="1">
      <alignment/>
      <protection locked="0"/>
    </xf>
    <xf numFmtId="0" fontId="23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30" fillId="36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0" applyFont="1" applyAlignment="1">
      <alignment/>
    </xf>
    <xf numFmtId="0" fontId="22" fillId="36" borderId="0" xfId="0" applyNumberFormat="1" applyFont="1" applyFill="1" applyBorder="1" applyAlignment="1" applyProtection="1">
      <alignment horizontal="right"/>
      <protection locked="0"/>
    </xf>
    <xf numFmtId="0" fontId="23" fillId="36" borderId="0" xfId="0" applyNumberFormat="1" applyFont="1" applyFill="1" applyBorder="1" applyAlignment="1" applyProtection="1">
      <alignment horizontal="left" vertical="center"/>
      <protection locked="0"/>
    </xf>
    <xf numFmtId="0" fontId="5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36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9" fontId="34" fillId="37" borderId="27" xfId="0" applyNumberFormat="1" applyFont="1" applyFill="1" applyBorder="1" applyAlignment="1">
      <alignment/>
    </xf>
    <xf numFmtId="0" fontId="16" fillId="0" borderId="27" xfId="0" applyFont="1" applyBorder="1" applyAlignment="1">
      <alignment/>
    </xf>
    <xf numFmtId="0" fontId="0" fillId="0" borderId="33" xfId="0" applyFont="1" applyBorder="1" applyAlignment="1">
      <alignment horizontal="right"/>
    </xf>
    <xf numFmtId="0" fontId="16" fillId="0" borderId="26" xfId="0" applyFont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35" xfId="0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right"/>
    </xf>
    <xf numFmtId="0" fontId="12" fillId="33" borderId="25" xfId="0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8" fillId="34" borderId="27" xfId="0" applyNumberFormat="1" applyFont="1" applyFill="1" applyBorder="1" applyAlignment="1">
      <alignment/>
    </xf>
    <xf numFmtId="1" fontId="18" fillId="34" borderId="33" xfId="0" applyNumberFormat="1" applyFont="1" applyFill="1" applyBorder="1" applyAlignment="1">
      <alignment horizontal="left"/>
    </xf>
    <xf numFmtId="1" fontId="3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9" fontId="38" fillId="38" borderId="35" xfId="0" applyNumberFormat="1" applyFont="1" applyFill="1" applyBorder="1" applyAlignment="1">
      <alignment horizontal="center" wrapText="1"/>
    </xf>
    <xf numFmtId="9" fontId="38" fillId="38" borderId="33" xfId="0" applyNumberFormat="1" applyFont="1" applyFill="1" applyBorder="1" applyAlignment="1">
      <alignment horizont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vertical="center" wrapText="1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10" fontId="38" fillId="0" borderId="36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10" fontId="0" fillId="38" borderId="33" xfId="0" applyNumberFormat="1" applyFont="1" applyFill="1" applyBorder="1" applyAlignment="1">
      <alignment horizontal="center" vertical="center" wrapText="1"/>
    </xf>
    <xf numFmtId="10" fontId="0" fillId="38" borderId="35" xfId="0" applyNumberFormat="1" applyFont="1" applyFill="1" applyBorder="1" applyAlignment="1">
      <alignment horizontal="center" vertical="center" wrapText="1"/>
    </xf>
    <xf numFmtId="0" fontId="40" fillId="35" borderId="35" xfId="0" applyFont="1" applyFill="1" applyBorder="1" applyAlignment="1" applyProtection="1">
      <alignment horizontal="center"/>
      <protection locked="0"/>
    </xf>
    <xf numFmtId="0" fontId="40" fillId="35" borderId="33" xfId="0" applyFont="1" applyFill="1" applyBorder="1" applyAlignment="1" applyProtection="1">
      <alignment horizontal="center"/>
      <protection locked="0"/>
    </xf>
    <xf numFmtId="0" fontId="1" fillId="35" borderId="33" xfId="0" applyFont="1" applyFill="1" applyBorder="1" applyAlignment="1" applyProtection="1">
      <alignment horizontal="center"/>
      <protection locked="0"/>
    </xf>
    <xf numFmtId="10" fontId="0" fillId="39" borderId="3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10" fontId="1" fillId="38" borderId="33" xfId="0" applyNumberFormat="1" applyFont="1" applyFill="1" applyBorder="1" applyAlignment="1">
      <alignment horizontal="center" wrapText="1"/>
    </xf>
    <xf numFmtId="10" fontId="1" fillId="35" borderId="35" xfId="0" applyNumberFormat="1" applyFont="1" applyFill="1" applyBorder="1" applyAlignment="1" applyProtection="1">
      <alignment horizontal="center" wrapText="1"/>
      <protection locked="0"/>
    </xf>
    <xf numFmtId="0" fontId="1" fillId="0" borderId="28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18" fillId="34" borderId="25" xfId="0" applyFont="1" applyFill="1" applyBorder="1" applyAlignment="1">
      <alignment/>
    </xf>
    <xf numFmtId="0" fontId="18" fillId="34" borderId="34" xfId="0" applyFont="1" applyFill="1" applyBorder="1" applyAlignment="1">
      <alignment/>
    </xf>
    <xf numFmtId="0" fontId="18" fillId="34" borderId="34" xfId="0" applyNumberFormat="1" applyFont="1" applyFill="1" applyBorder="1" applyAlignment="1">
      <alignment/>
    </xf>
    <xf numFmtId="1" fontId="18" fillId="34" borderId="29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37" fillId="0" borderId="25" xfId="0" applyFont="1" applyBorder="1" applyAlignment="1">
      <alignment/>
    </xf>
    <xf numFmtId="0" fontId="37" fillId="0" borderId="34" xfId="0" applyFont="1" applyBorder="1" applyAlignment="1">
      <alignment/>
    </xf>
    <xf numFmtId="0" fontId="18" fillId="0" borderId="29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35" borderId="35" xfId="0" applyFont="1" applyFill="1" applyBorder="1" applyAlignment="1" applyProtection="1">
      <alignment horizontal="center"/>
      <protection locked="0"/>
    </xf>
    <xf numFmtId="10" fontId="0" fillId="0" borderId="25" xfId="0" applyNumberFormat="1" applyFont="1" applyFill="1" applyBorder="1" applyAlignment="1">
      <alignment vertical="center"/>
    </xf>
    <xf numFmtId="10" fontId="1" fillId="0" borderId="29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3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9" fontId="38" fillId="38" borderId="38" xfId="0" applyNumberFormat="1" applyFont="1" applyFill="1" applyBorder="1" applyAlignment="1">
      <alignment horizontal="center" wrapText="1"/>
    </xf>
    <xf numFmtId="9" fontId="38" fillId="38" borderId="30" xfId="0" applyNumberFormat="1" applyFont="1" applyFill="1" applyBorder="1" applyAlignment="1">
      <alignment horizontal="center" wrapText="1"/>
    </xf>
    <xf numFmtId="10" fontId="0" fillId="0" borderId="10" xfId="0" applyNumberFormat="1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0" fontId="0" fillId="0" borderId="28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0" fontId="0" fillId="38" borderId="26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1" fillId="0" borderId="39" xfId="0" applyFont="1" applyFill="1" applyBorder="1" applyAlignment="1">
      <alignment horizontal="left"/>
    </xf>
    <xf numFmtId="0" fontId="8" fillId="0" borderId="40" xfId="0" applyFont="1" applyBorder="1" applyAlignment="1">
      <alignment/>
    </xf>
    <xf numFmtId="0" fontId="1" fillId="35" borderId="26" xfId="0" applyFont="1" applyFill="1" applyBorder="1" applyAlignment="1" applyProtection="1">
      <alignment horizontal="center"/>
      <protection locked="0"/>
    </xf>
    <xf numFmtId="0" fontId="1" fillId="35" borderId="35" xfId="0" applyFont="1" applyFill="1" applyBorder="1" applyAlignment="1" applyProtection="1">
      <alignment horizontal="center"/>
      <protection locked="0"/>
    </xf>
    <xf numFmtId="10" fontId="0" fillId="35" borderId="35" xfId="0" applyNumberFormat="1" applyFont="1" applyFill="1" applyBorder="1" applyAlignment="1">
      <alignment horizontal="center"/>
    </xf>
    <xf numFmtId="10" fontId="0" fillId="35" borderId="26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0" fontId="8" fillId="0" borderId="42" xfId="0" applyFont="1" applyBorder="1" applyAlignment="1">
      <alignment/>
    </xf>
    <xf numFmtId="0" fontId="1" fillId="0" borderId="43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8" fillId="0" borderId="44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10" fontId="1" fillId="35" borderId="27" xfId="0" applyNumberFormat="1" applyFont="1" applyFill="1" applyBorder="1" applyAlignment="1">
      <alignment horizontal="center" wrapText="1"/>
    </xf>
    <xf numFmtId="0" fontId="0" fillId="0" borderId="28" xfId="0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0" fillId="0" borderId="34" xfId="0" applyFont="1" applyBorder="1" applyAlignment="1">
      <alignment/>
    </xf>
    <xf numFmtId="10" fontId="0" fillId="38" borderId="35" xfId="0" applyNumberFormat="1" applyFont="1" applyFill="1" applyBorder="1" applyAlignment="1">
      <alignment horizontal="center"/>
    </xf>
    <xf numFmtId="10" fontId="1" fillId="35" borderId="26" xfId="0" applyNumberFormat="1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/>
    </xf>
    <xf numFmtId="10" fontId="1" fillId="0" borderId="34" xfId="0" applyNumberFormat="1" applyFont="1" applyFill="1" applyBorder="1" applyAlignment="1">
      <alignment horizontal="center" wrapText="1"/>
    </xf>
    <xf numFmtId="10" fontId="1" fillId="0" borderId="29" xfId="0" applyNumberFormat="1" applyFont="1" applyFill="1" applyBorder="1" applyAlignment="1">
      <alignment horizontal="center" wrapText="1"/>
    </xf>
    <xf numFmtId="0" fontId="38" fillId="38" borderId="45" xfId="0" applyFont="1" applyFill="1" applyBorder="1" applyAlignment="1">
      <alignment horizontal="center" textRotation="90" wrapText="1"/>
    </xf>
    <xf numFmtId="10" fontId="1" fillId="35" borderId="35" xfId="0" applyNumberFormat="1" applyFont="1" applyFill="1" applyBorder="1" applyAlignment="1">
      <alignment horizontal="center" wrapText="1"/>
    </xf>
    <xf numFmtId="10" fontId="0" fillId="38" borderId="45" xfId="0" applyNumberFormat="1" applyFont="1" applyFill="1" applyBorder="1" applyAlignment="1">
      <alignment horizontal="center" vertical="center" wrapText="1"/>
    </xf>
    <xf numFmtId="10" fontId="38" fillId="38" borderId="38" xfId="0" applyNumberFormat="1" applyFont="1" applyFill="1" applyBorder="1" applyAlignment="1">
      <alignment horizontal="center" vertical="center" wrapText="1"/>
    </xf>
    <xf numFmtId="0" fontId="1" fillId="38" borderId="27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0" fontId="0" fillId="38" borderId="33" xfId="0" applyFont="1" applyFill="1" applyBorder="1" applyAlignment="1">
      <alignment/>
    </xf>
    <xf numFmtId="0" fontId="1" fillId="38" borderId="35" xfId="0" applyFont="1" applyFill="1" applyBorder="1" applyAlignment="1" applyProtection="1">
      <alignment horizontal="center"/>
      <protection locked="0"/>
    </xf>
    <xf numFmtId="10" fontId="1" fillId="35" borderId="35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36" xfId="0" applyFont="1" applyFill="1" applyBorder="1" applyAlignment="1">
      <alignment horizontal="left"/>
    </xf>
    <xf numFmtId="10" fontId="0" fillId="0" borderId="36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18" fillId="0" borderId="10" xfId="0" applyFont="1" applyFill="1" applyBorder="1" applyAlignment="1">
      <alignment/>
    </xf>
    <xf numFmtId="0" fontId="0" fillId="0" borderId="25" xfId="0" applyFont="1" applyBorder="1" applyAlignment="1">
      <alignment/>
    </xf>
    <xf numFmtId="0" fontId="18" fillId="40" borderId="26" xfId="0" applyFont="1" applyFill="1" applyBorder="1" applyAlignment="1">
      <alignment/>
    </xf>
    <xf numFmtId="0" fontId="18" fillId="40" borderId="27" xfId="0" applyFont="1" applyFill="1" applyBorder="1" applyAlignment="1">
      <alignment/>
    </xf>
    <xf numFmtId="0" fontId="18" fillId="40" borderId="27" xfId="0" applyNumberFormat="1" applyFont="1" applyFill="1" applyBorder="1" applyAlignment="1">
      <alignment/>
    </xf>
    <xf numFmtId="1" fontId="18" fillId="40" borderId="33" xfId="0" applyNumberFormat="1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right"/>
    </xf>
    <xf numFmtId="0" fontId="1" fillId="39" borderId="35" xfId="0" applyFont="1" applyFill="1" applyBorder="1" applyAlignment="1">
      <alignment horizontal="center"/>
    </xf>
    <xf numFmtId="10" fontId="1" fillId="39" borderId="3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3" fillId="0" borderId="11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10" fontId="1" fillId="38" borderId="33" xfId="0" applyNumberFormat="1" applyFont="1" applyFill="1" applyBorder="1" applyAlignment="1">
      <alignment horizontal="center"/>
    </xf>
    <xf numFmtId="0" fontId="18" fillId="40" borderId="25" xfId="0" applyFont="1" applyFill="1" applyBorder="1" applyAlignment="1">
      <alignment/>
    </xf>
    <xf numFmtId="0" fontId="18" fillId="40" borderId="34" xfId="0" applyFont="1" applyFill="1" applyBorder="1" applyAlignment="1">
      <alignment/>
    </xf>
    <xf numFmtId="0" fontId="18" fillId="40" borderId="34" xfId="0" applyNumberFormat="1" applyFont="1" applyFill="1" applyBorder="1" applyAlignment="1">
      <alignment/>
    </xf>
    <xf numFmtId="1" fontId="18" fillId="40" borderId="29" xfId="0" applyNumberFormat="1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 wrapText="1"/>
    </xf>
    <xf numFmtId="10" fontId="1" fillId="0" borderId="33" xfId="0" applyNumberFormat="1" applyFont="1" applyFill="1" applyBorder="1" applyAlignment="1">
      <alignment horizontal="center" wrapText="1"/>
    </xf>
    <xf numFmtId="9" fontId="1" fillId="38" borderId="33" xfId="0" applyNumberFormat="1" applyFont="1" applyFill="1" applyBorder="1" applyAlignment="1">
      <alignment horizontal="center" wrapText="1"/>
    </xf>
    <xf numFmtId="10" fontId="0" fillId="0" borderId="34" xfId="0" applyNumberFormat="1" applyFont="1" applyFill="1" applyBorder="1" applyAlignment="1">
      <alignment horizontal="center"/>
    </xf>
    <xf numFmtId="10" fontId="0" fillId="0" borderId="29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10" fontId="1" fillId="0" borderId="36" xfId="0" applyNumberFormat="1" applyFont="1" applyFill="1" applyBorder="1" applyAlignment="1">
      <alignment horizontal="center" wrapText="1"/>
    </xf>
    <xf numFmtId="10" fontId="1" fillId="0" borderId="30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18" fillId="0" borderId="11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45" xfId="0" applyFont="1" applyBorder="1" applyAlignment="1">
      <alignment/>
    </xf>
    <xf numFmtId="0" fontId="1" fillId="0" borderId="46" xfId="0" applyFont="1" applyFill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26" xfId="0" applyFont="1" applyFill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14" fontId="35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27" fillId="0" borderId="0" xfId="0" applyFont="1" applyFill="1" applyBorder="1" applyAlignment="1">
      <alignment/>
    </xf>
    <xf numFmtId="0" fontId="8" fillId="35" borderId="42" xfId="0" applyFont="1" applyFill="1" applyBorder="1" applyAlignment="1" applyProtection="1">
      <alignment/>
      <protection locked="0"/>
    </xf>
    <xf numFmtId="0" fontId="8" fillId="35" borderId="47" xfId="0" applyFont="1" applyFill="1" applyBorder="1" applyAlignment="1" applyProtection="1">
      <alignment/>
      <protection locked="0"/>
    </xf>
    <xf numFmtId="0" fontId="8" fillId="0" borderId="40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1" fillId="0" borderId="48" xfId="0" applyFont="1" applyFill="1" applyBorder="1" applyAlignment="1">
      <alignment horizontal="left"/>
    </xf>
    <xf numFmtId="0" fontId="8" fillId="0" borderId="44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9" fillId="36" borderId="25" xfId="0" applyFont="1" applyFill="1" applyBorder="1" applyAlignment="1" applyProtection="1">
      <alignment horizontal="right"/>
      <protection/>
    </xf>
    <xf numFmtId="0" fontId="19" fillId="36" borderId="28" xfId="0" applyFont="1" applyFill="1" applyBorder="1" applyAlignment="1" applyProtection="1">
      <alignment horizontal="right"/>
      <protection/>
    </xf>
    <xf numFmtId="0" fontId="1" fillId="36" borderId="31" xfId="0" applyFont="1" applyFill="1" applyBorder="1" applyAlignment="1" applyProtection="1">
      <alignment horizontal="right"/>
      <protection/>
    </xf>
    <xf numFmtId="0" fontId="0" fillId="36" borderId="31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/>
    </xf>
    <xf numFmtId="0" fontId="0" fillId="36" borderId="32" xfId="0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Border="1" applyAlignment="1" applyProtection="1">
      <alignment horizontal="right" vertical="center" wrapText="1"/>
      <protection/>
    </xf>
    <xf numFmtId="0" fontId="23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0" xfId="0" applyFont="1" applyFill="1" applyBorder="1" applyAlignment="1" applyProtection="1">
      <alignment horizontal="left" vertical="center" wrapText="1"/>
      <protection/>
    </xf>
    <xf numFmtId="0" fontId="23" fillId="36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 locked="0"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9" xfId="0" applyFont="1" applyBorder="1" applyAlignment="1">
      <alignment/>
    </xf>
    <xf numFmtId="0" fontId="7" fillId="0" borderId="49" xfId="0" applyFont="1" applyFill="1" applyBorder="1" applyAlignment="1">
      <alignment/>
    </xf>
    <xf numFmtId="0" fontId="0" fillId="0" borderId="50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36" borderId="32" xfId="0" applyFont="1" applyFill="1" applyBorder="1" applyAlignment="1" applyProtection="1">
      <alignment horizontal="left" vertical="center" wrapText="1"/>
      <protection locked="0"/>
    </xf>
    <xf numFmtId="0" fontId="1" fillId="36" borderId="31" xfId="0" applyFont="1" applyFill="1" applyBorder="1" applyAlignment="1">
      <alignment horizontal="right" vertical="center" wrapText="1"/>
    </xf>
    <xf numFmtId="49" fontId="0" fillId="0" borderId="0" xfId="0" applyNumberFormat="1" applyAlignment="1">
      <alignment/>
    </xf>
    <xf numFmtId="0" fontId="0" fillId="36" borderId="0" xfId="0" applyFont="1" applyFill="1" applyBorder="1" applyAlignment="1" applyProtection="1">
      <alignment horizontal="left" vertical="center" wrapText="1"/>
      <protection locked="0"/>
    </xf>
    <xf numFmtId="0" fontId="1" fillId="36" borderId="0" xfId="0" applyFont="1" applyFill="1" applyBorder="1" applyAlignment="1">
      <alignment horizontal="right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5" fillId="33" borderId="45" xfId="0" applyFont="1" applyFill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0" fillId="0" borderId="35" xfId="0" applyBorder="1" applyAlignment="1">
      <alignment horizontal="center" vertical="top" wrapText="1"/>
    </xf>
    <xf numFmtId="0" fontId="25" fillId="0" borderId="11" xfId="0" applyFont="1" applyFill="1" applyBorder="1" applyAlignment="1" applyProtection="1">
      <alignment horizontal="left"/>
      <protection locked="0"/>
    </xf>
    <xf numFmtId="0" fontId="25" fillId="0" borderId="30" xfId="0" applyFont="1" applyFill="1" applyBorder="1" applyAlignment="1" applyProtection="1">
      <alignment horizontal="left"/>
      <protection locked="0"/>
    </xf>
    <xf numFmtId="0" fontId="1" fillId="0" borderId="45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8" fillId="36" borderId="33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left"/>
    </xf>
    <xf numFmtId="0" fontId="0" fillId="36" borderId="30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8" fillId="34" borderId="26" xfId="0" applyFont="1" applyFill="1" applyBorder="1" applyAlignment="1">
      <alignment horizontal="left"/>
    </xf>
    <xf numFmtId="0" fontId="18" fillId="34" borderId="27" xfId="0" applyFont="1" applyFill="1" applyBorder="1" applyAlignment="1">
      <alignment horizontal="left"/>
    </xf>
    <xf numFmtId="0" fontId="0" fillId="0" borderId="30" xfId="0" applyFont="1" applyFill="1" applyBorder="1" applyAlignment="1" applyProtection="1">
      <alignment horizontal="left"/>
      <protection locked="0"/>
    </xf>
    <xf numFmtId="0" fontId="9" fillId="0" borderId="37" xfId="0" applyFont="1" applyFill="1" applyBorder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22" fillId="33" borderId="34" xfId="0" applyFont="1" applyFill="1" applyBorder="1" applyAlignment="1">
      <alignment horizontal="left"/>
    </xf>
    <xf numFmtId="0" fontId="18" fillId="34" borderId="33" xfId="0" applyFont="1" applyFill="1" applyBorder="1" applyAlignment="1">
      <alignment horizontal="left"/>
    </xf>
    <xf numFmtId="0" fontId="21" fillId="0" borderId="11" xfId="52" applyNumberFormat="1" applyFont="1" applyFill="1" applyBorder="1" applyAlignment="1" applyProtection="1">
      <alignment horizontal="left"/>
      <protection locked="0"/>
    </xf>
    <xf numFmtId="0" fontId="1" fillId="36" borderId="34" xfId="0" applyFont="1" applyFill="1" applyBorder="1" applyAlignment="1">
      <alignment horizontal="right" vertical="center"/>
    </xf>
    <xf numFmtId="0" fontId="0" fillId="36" borderId="29" xfId="0" applyFont="1" applyFill="1" applyBorder="1" applyAlignment="1" applyProtection="1">
      <alignment horizontal="left" vertical="center"/>
      <protection locked="0"/>
    </xf>
    <xf numFmtId="0" fontId="0" fillId="36" borderId="27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" fillId="0" borderId="34" xfId="0" applyFont="1" applyFill="1" applyBorder="1" applyAlignment="1">
      <alignment horizontal="right" vertical="center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13" fillId="33" borderId="37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7" fillId="0" borderId="29" xfId="0" applyFont="1" applyFill="1" applyBorder="1" applyAlignment="1" applyProtection="1">
      <alignment horizontal="left"/>
      <protection locked="0"/>
    </xf>
    <xf numFmtId="0" fontId="0" fillId="36" borderId="11" xfId="0" applyFont="1" applyFill="1" applyBorder="1" applyAlignment="1" applyProtection="1">
      <alignment horizontal="left"/>
      <protection locked="0"/>
    </xf>
    <xf numFmtId="0" fontId="0" fillId="36" borderId="11" xfId="52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right" vertical="center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36" borderId="11" xfId="0" applyFont="1" applyFill="1" applyBorder="1" applyAlignment="1" applyProtection="1">
      <alignment horizontal="left" vertical="center" wrapText="1"/>
      <protection locked="0"/>
    </xf>
    <xf numFmtId="0" fontId="10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2" fillId="33" borderId="25" xfId="0" applyFont="1" applyFill="1" applyBorder="1" applyAlignment="1">
      <alignment horizontal="left"/>
    </xf>
    <xf numFmtId="0" fontId="22" fillId="33" borderId="29" xfId="0" applyFont="1" applyFill="1" applyBorder="1" applyAlignment="1">
      <alignment horizontal="left"/>
    </xf>
    <xf numFmtId="0" fontId="22" fillId="36" borderId="28" xfId="0" applyFont="1" applyFill="1" applyBorder="1" applyAlignment="1">
      <alignment horizontal="left"/>
    </xf>
    <xf numFmtId="0" fontId="22" fillId="36" borderId="36" xfId="0" applyFont="1" applyFill="1" applyBorder="1" applyAlignment="1">
      <alignment horizontal="left"/>
    </xf>
    <xf numFmtId="0" fontId="22" fillId="36" borderId="30" xfId="0" applyFont="1" applyFill="1" applyBorder="1" applyAlignment="1">
      <alignment horizontal="left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18" fillId="34" borderId="26" xfId="0" applyFont="1" applyFill="1" applyBorder="1" applyAlignment="1">
      <alignment horizontal="center"/>
    </xf>
    <xf numFmtId="0" fontId="18" fillId="34" borderId="27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left"/>
    </xf>
    <xf numFmtId="0" fontId="0" fillId="0" borderId="11" xfId="52" applyNumberFormat="1" applyFont="1" applyFill="1" applyBorder="1" applyAlignment="1" applyProtection="1">
      <alignment horizontal="left"/>
      <protection locked="0"/>
    </xf>
    <xf numFmtId="0" fontId="0" fillId="36" borderId="0" xfId="0" applyFont="1" applyFill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5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6" fillId="0" borderId="29" xfId="0" applyFont="1" applyFill="1" applyBorder="1" applyAlignment="1" applyProtection="1">
      <alignment horizontal="left"/>
      <protection locked="0"/>
    </xf>
    <xf numFmtId="0" fontId="0" fillId="0" borderId="27" xfId="0" applyFont="1" applyBorder="1" applyAlignment="1">
      <alignment horizontal="center"/>
    </xf>
    <xf numFmtId="0" fontId="1" fillId="36" borderId="52" xfId="0" applyFont="1" applyFill="1" applyBorder="1" applyAlignment="1">
      <alignment horizontal="right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36" borderId="49" xfId="0" applyFont="1" applyFill="1" applyBorder="1" applyAlignment="1">
      <alignment horizontal="left"/>
    </xf>
    <xf numFmtId="0" fontId="1" fillId="36" borderId="31" xfId="0" applyFont="1" applyFill="1" applyBorder="1" applyAlignment="1">
      <alignment horizontal="right"/>
    </xf>
    <xf numFmtId="0" fontId="0" fillId="36" borderId="0" xfId="0" applyFill="1" applyBorder="1" applyAlignment="1" applyProtection="1">
      <alignment horizontal="left" vertical="center"/>
      <protection locked="0"/>
    </xf>
    <xf numFmtId="0" fontId="30" fillId="36" borderId="32" xfId="0" applyFont="1" applyFill="1" applyBorder="1" applyAlignment="1" applyProtection="1">
      <alignment horizontal="left"/>
      <protection locked="0"/>
    </xf>
    <xf numFmtId="0" fontId="0" fillId="36" borderId="53" xfId="0" applyFont="1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18" fillId="34" borderId="54" xfId="0" applyFont="1" applyFill="1" applyBorder="1" applyAlignment="1">
      <alignment horizontal="left"/>
    </xf>
    <xf numFmtId="0" fontId="13" fillId="33" borderId="49" xfId="0" applyFont="1" applyFill="1" applyBorder="1" applyAlignment="1">
      <alignment horizontal="center"/>
    </xf>
    <xf numFmtId="0" fontId="0" fillId="36" borderId="49" xfId="0" applyFont="1" applyFill="1" applyBorder="1" applyAlignment="1">
      <alignment horizontal="center"/>
    </xf>
    <xf numFmtId="0" fontId="31" fillId="36" borderId="49" xfId="0" applyFont="1" applyFill="1" applyBorder="1" applyAlignment="1">
      <alignment horizontal="left"/>
    </xf>
    <xf numFmtId="0" fontId="0" fillId="36" borderId="31" xfId="0" applyFill="1" applyBorder="1" applyAlignment="1" applyProtection="1">
      <alignment horizontal="left" vertical="top" wrapText="1"/>
      <protection locked="0"/>
    </xf>
    <xf numFmtId="0" fontId="0" fillId="36" borderId="0" xfId="0" applyFill="1" applyBorder="1" applyAlignment="1" applyProtection="1">
      <alignment horizontal="left" vertical="top" wrapText="1"/>
      <protection locked="0"/>
    </xf>
    <xf numFmtId="0" fontId="0" fillId="36" borderId="32" xfId="0" applyFill="1" applyBorder="1" applyAlignment="1" applyProtection="1">
      <alignment horizontal="left" vertical="top" wrapText="1"/>
      <protection locked="0"/>
    </xf>
    <xf numFmtId="0" fontId="0" fillId="36" borderId="55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right" vertical="center"/>
    </xf>
    <xf numFmtId="0" fontId="0" fillId="36" borderId="32" xfId="0" applyFont="1" applyFill="1" applyBorder="1" applyAlignment="1" applyProtection="1">
      <alignment horizontal="left" vertical="center"/>
      <protection locked="0"/>
    </xf>
    <xf numFmtId="0" fontId="0" fillId="36" borderId="36" xfId="0" applyFill="1" applyBorder="1" applyAlignment="1">
      <alignment horizontal="center"/>
    </xf>
    <xf numFmtId="0" fontId="29" fillId="33" borderId="49" xfId="0" applyFont="1" applyFill="1" applyBorder="1" applyAlignment="1">
      <alignment horizontal="left"/>
    </xf>
    <xf numFmtId="0" fontId="0" fillId="36" borderId="32" xfId="0" applyFont="1" applyFill="1" applyBorder="1" applyAlignment="1">
      <alignment horizontal="left" vertical="center"/>
    </xf>
    <xf numFmtId="0" fontId="1" fillId="36" borderId="31" xfId="0" applyFont="1" applyFill="1" applyBorder="1" applyAlignment="1">
      <alignment horizontal="left"/>
    </xf>
    <xf numFmtId="0" fontId="0" fillId="36" borderId="32" xfId="0" applyFont="1" applyFill="1" applyBorder="1" applyAlignment="1" applyProtection="1">
      <alignment horizontal="left"/>
      <protection locked="0"/>
    </xf>
    <xf numFmtId="0" fontId="1" fillId="36" borderId="31" xfId="0" applyFont="1" applyFill="1" applyBorder="1" applyAlignment="1">
      <alignment horizontal="right" vertical="center" wrapText="1"/>
    </xf>
    <xf numFmtId="0" fontId="0" fillId="36" borderId="32" xfId="0" applyFont="1" applyFill="1" applyBorder="1" applyAlignment="1" applyProtection="1">
      <alignment horizontal="center"/>
      <protection locked="0"/>
    </xf>
    <xf numFmtId="0" fontId="1" fillId="36" borderId="31" xfId="0" applyFont="1" applyFill="1" applyBorder="1" applyAlignment="1">
      <alignment horizontal="right" vertical="top" wrapText="1"/>
    </xf>
    <xf numFmtId="0" fontId="0" fillId="36" borderId="32" xfId="0" applyFont="1" applyFill="1" applyBorder="1" applyAlignment="1" applyProtection="1">
      <alignment horizontal="left" vertical="center" wrapText="1"/>
      <protection locked="0"/>
    </xf>
    <xf numFmtId="0" fontId="0" fillId="41" borderId="53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right" vertical="center" wrapText="1"/>
    </xf>
    <xf numFmtId="0" fontId="0" fillId="36" borderId="32" xfId="0" applyFill="1" applyBorder="1" applyAlignment="1" applyProtection="1">
      <alignment horizontal="left" vertical="center"/>
      <protection locked="0"/>
    </xf>
    <xf numFmtId="0" fontId="1" fillId="36" borderId="31" xfId="0" applyFont="1" applyFill="1" applyBorder="1" applyAlignment="1">
      <alignment horizontal="right" wrapText="1"/>
    </xf>
    <xf numFmtId="0" fontId="0" fillId="36" borderId="32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right"/>
    </xf>
    <xf numFmtId="0" fontId="0" fillId="36" borderId="32" xfId="0" applyFill="1" applyBorder="1" applyAlignment="1" applyProtection="1">
      <alignment horizontal="left"/>
      <protection locked="0"/>
    </xf>
    <xf numFmtId="0" fontId="8" fillId="36" borderId="31" xfId="0" applyFont="1" applyFill="1" applyBorder="1" applyAlignment="1">
      <alignment horizontal="right"/>
    </xf>
    <xf numFmtId="0" fontId="23" fillId="36" borderId="32" xfId="0" applyFont="1" applyFill="1" applyBorder="1" applyAlignment="1" applyProtection="1">
      <alignment horizontal="center"/>
      <protection hidden="1" locked="0"/>
    </xf>
    <xf numFmtId="0" fontId="0" fillId="0" borderId="54" xfId="0" applyFont="1" applyBorder="1" applyAlignment="1">
      <alignment horizontal="center"/>
    </xf>
    <xf numFmtId="0" fontId="1" fillId="36" borderId="31" xfId="0" applyFont="1" applyFill="1" applyBorder="1" applyAlignment="1">
      <alignment horizontal="right" vertical="top"/>
    </xf>
    <xf numFmtId="0" fontId="1" fillId="36" borderId="31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0" fillId="36" borderId="32" xfId="0" applyFill="1" applyBorder="1" applyAlignment="1" applyProtection="1">
      <alignment horizontal="left" vertical="center" wrapText="1"/>
      <protection locked="0"/>
    </xf>
    <xf numFmtId="0" fontId="0" fillId="36" borderId="0" xfId="0" applyFont="1" applyFill="1" applyBorder="1" applyAlignment="1" applyProtection="1">
      <alignment horizontal="left"/>
      <protection locked="0"/>
    </xf>
    <xf numFmtId="0" fontId="27" fillId="36" borderId="32" xfId="0" applyFont="1" applyFill="1" applyBorder="1" applyAlignment="1">
      <alignment horizontal="center"/>
    </xf>
    <xf numFmtId="0" fontId="0" fillId="36" borderId="0" xfId="0" applyFill="1" applyBorder="1" applyAlignment="1" applyProtection="1">
      <alignment horizontal="left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0" fillId="36" borderId="55" xfId="0" applyFill="1" applyBorder="1" applyAlignment="1">
      <alignment horizontal="center"/>
    </xf>
    <xf numFmtId="0" fontId="19" fillId="36" borderId="29" xfId="0" applyNumberFormat="1" applyFont="1" applyFill="1" applyBorder="1" applyAlignment="1" applyProtection="1">
      <alignment horizontal="left"/>
      <protection locked="0"/>
    </xf>
    <xf numFmtId="0" fontId="0" fillId="36" borderId="37" xfId="0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10" fillId="36" borderId="12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/>
    </xf>
    <xf numFmtId="0" fontId="11" fillId="36" borderId="49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0" fontId="0" fillId="36" borderId="32" xfId="0" applyFont="1" applyFill="1" applyBorder="1" applyAlignment="1">
      <alignment horizontal="left"/>
    </xf>
    <xf numFmtId="0" fontId="12" fillId="33" borderId="55" xfId="0" applyFont="1" applyFill="1" applyBorder="1" applyAlignment="1">
      <alignment horizontal="center"/>
    </xf>
    <xf numFmtId="0" fontId="19" fillId="33" borderId="49" xfId="0" applyFont="1" applyFill="1" applyBorder="1" applyAlignment="1">
      <alignment horizontal="center"/>
    </xf>
    <xf numFmtId="0" fontId="19" fillId="36" borderId="30" xfId="0" applyNumberFormat="1" applyFont="1" applyFill="1" applyBorder="1" applyAlignment="1" applyProtection="1">
      <alignment horizontal="left"/>
      <protection locked="0"/>
    </xf>
    <xf numFmtId="0" fontId="19" fillId="36" borderId="55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 applyProtection="1">
      <alignment horizontal="left"/>
      <protection locked="0"/>
    </xf>
    <xf numFmtId="0" fontId="7" fillId="36" borderId="32" xfId="0" applyFont="1" applyFill="1" applyBorder="1" applyAlignment="1" applyProtection="1">
      <alignment horizontal="left"/>
      <protection locked="0"/>
    </xf>
    <xf numFmtId="0" fontId="7" fillId="36" borderId="0" xfId="0" applyFont="1" applyFill="1" applyBorder="1" applyAlignment="1" applyProtection="1">
      <alignment horizontal="left"/>
      <protection/>
    </xf>
    <xf numFmtId="0" fontId="7" fillId="36" borderId="32" xfId="0" applyFont="1" applyFill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 horizontal="left" vertical="center" wrapText="1"/>
      <protection locked="0"/>
    </xf>
    <xf numFmtId="0" fontId="0" fillId="36" borderId="0" xfId="0" applyFont="1" applyFill="1" applyBorder="1" applyAlignment="1" applyProtection="1">
      <alignment horizontal="left" vertical="center" wrapText="1"/>
      <protection locked="0"/>
    </xf>
    <xf numFmtId="0" fontId="1" fillId="36" borderId="0" xfId="0" applyFont="1" applyFill="1" applyBorder="1" applyAlignment="1">
      <alignment horizontal="right" vertical="center" wrapText="1"/>
    </xf>
    <xf numFmtId="0" fontId="0" fillId="36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30" fillId="36" borderId="32" xfId="0" applyFont="1" applyFill="1" applyBorder="1" applyAlignment="1" applyProtection="1">
      <alignment horizontal="center"/>
      <protection locked="0"/>
    </xf>
    <xf numFmtId="0" fontId="30" fillId="36" borderId="32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right"/>
    </xf>
    <xf numFmtId="0" fontId="0" fillId="36" borderId="50" xfId="0" applyFill="1" applyBorder="1" applyAlignment="1" applyProtection="1">
      <alignment horizontal="left" vertical="top" wrapText="1"/>
      <protection locked="0"/>
    </xf>
    <xf numFmtId="0" fontId="27" fillId="36" borderId="49" xfId="0" applyFont="1" applyFill="1" applyBorder="1" applyAlignment="1">
      <alignment horizontal="left"/>
    </xf>
    <xf numFmtId="0" fontId="0" fillId="36" borderId="49" xfId="0" applyFill="1" applyBorder="1" applyAlignment="1" applyProtection="1">
      <alignment horizontal="left" vertical="top" wrapText="1"/>
      <protection locked="0"/>
    </xf>
    <xf numFmtId="0" fontId="33" fillId="36" borderId="49" xfId="0" applyFont="1" applyFill="1" applyBorder="1" applyAlignment="1">
      <alignment horizontal="left"/>
    </xf>
    <xf numFmtId="0" fontId="27" fillId="36" borderId="49" xfId="0" applyFont="1" applyFill="1" applyBorder="1" applyAlignment="1" applyProtection="1">
      <alignment horizontal="left"/>
      <protection/>
    </xf>
    <xf numFmtId="0" fontId="0" fillId="36" borderId="49" xfId="0" applyFont="1" applyFill="1" applyBorder="1" applyAlignment="1">
      <alignment horizontal="center" vertical="center"/>
    </xf>
    <xf numFmtId="0" fontId="1" fillId="36" borderId="32" xfId="0" applyFont="1" applyFill="1" applyBorder="1" applyAlignment="1" applyProtection="1">
      <alignment horizontal="center" vertical="center" wrapText="1"/>
      <protection/>
    </xf>
    <xf numFmtId="0" fontId="0" fillId="36" borderId="56" xfId="0" applyFont="1" applyFill="1" applyBorder="1" applyAlignment="1">
      <alignment horizontal="center"/>
    </xf>
    <xf numFmtId="0" fontId="0" fillId="36" borderId="57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left" vertical="center"/>
    </xf>
    <xf numFmtId="0" fontId="0" fillId="36" borderId="0" xfId="0" applyFont="1" applyFill="1" applyBorder="1" applyAlignment="1" applyProtection="1">
      <alignment horizontal="left" vertical="top" wrapText="1"/>
      <protection locked="0"/>
    </xf>
    <xf numFmtId="0" fontId="0" fillId="36" borderId="32" xfId="0" applyFont="1" applyFill="1" applyBorder="1" applyAlignment="1" applyProtection="1">
      <alignment horizontal="left" vertical="top" wrapText="1"/>
      <protection locked="0"/>
    </xf>
    <xf numFmtId="0" fontId="0" fillId="36" borderId="32" xfId="0" applyFill="1" applyBorder="1" applyAlignment="1" applyProtection="1">
      <alignment horizontal="center"/>
      <protection/>
    </xf>
    <xf numFmtId="0" fontId="0" fillId="36" borderId="54" xfId="0" applyFill="1" applyBorder="1" applyAlignment="1">
      <alignment horizontal="center"/>
    </xf>
    <xf numFmtId="0" fontId="0" fillId="36" borderId="32" xfId="0" applyFont="1" applyFill="1" applyBorder="1" applyAlignment="1" applyProtection="1">
      <alignment horizontal="center"/>
      <protection/>
    </xf>
    <xf numFmtId="0" fontId="0" fillId="36" borderId="49" xfId="0" applyFont="1" applyFill="1" applyBorder="1" applyAlignment="1" applyProtection="1">
      <alignment horizont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6" borderId="31" xfId="0" applyFont="1" applyFill="1" applyBorder="1" applyAlignment="1">
      <alignment horizontal="right" wrapText="1"/>
    </xf>
    <xf numFmtId="0" fontId="23" fillId="36" borderId="32" xfId="0" applyFont="1" applyFill="1" applyBorder="1" applyAlignment="1" applyProtection="1">
      <alignment horizontal="center"/>
      <protection hidden="1"/>
    </xf>
    <xf numFmtId="0" fontId="8" fillId="36" borderId="32" xfId="0" applyFont="1" applyFill="1" applyBorder="1" applyAlignment="1">
      <alignment horizontal="center"/>
    </xf>
    <xf numFmtId="0" fontId="29" fillId="33" borderId="38" xfId="0" applyFont="1" applyFill="1" applyBorder="1" applyAlignment="1">
      <alignment horizontal="left"/>
    </xf>
    <xf numFmtId="0" fontId="11" fillId="36" borderId="49" xfId="0" applyFont="1" applyFill="1" applyBorder="1" applyAlignment="1">
      <alignment horizontal="center" vertical="top"/>
    </xf>
    <xf numFmtId="0" fontId="0" fillId="36" borderId="49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>
      <alignment horizontal="left"/>
    </xf>
    <xf numFmtId="0" fontId="1" fillId="38" borderId="3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8" fillId="35" borderId="58" xfId="0" applyFont="1" applyFill="1" applyBorder="1" applyAlignment="1" applyProtection="1">
      <alignment horizontal="left"/>
      <protection locked="0"/>
    </xf>
    <xf numFmtId="10" fontId="0" fillId="0" borderId="36" xfId="0" applyNumberFormat="1" applyFont="1" applyFill="1" applyBorder="1" applyAlignment="1">
      <alignment horizontal="center" vertical="center" wrapText="1"/>
    </xf>
    <xf numFmtId="0" fontId="38" fillId="38" borderId="35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left"/>
    </xf>
    <xf numFmtId="0" fontId="8" fillId="35" borderId="59" xfId="0" applyFont="1" applyFill="1" applyBorder="1" applyAlignment="1" applyProtection="1">
      <alignment horizontal="left"/>
      <protection locked="0"/>
    </xf>
    <xf numFmtId="0" fontId="8" fillId="35" borderId="47" xfId="0" applyFont="1" applyFill="1" applyBorder="1" applyAlignment="1" applyProtection="1">
      <alignment horizontal="left"/>
      <protection locked="0"/>
    </xf>
    <xf numFmtId="0" fontId="0" fillId="35" borderId="35" xfId="0" applyFont="1" applyFill="1" applyBorder="1" applyAlignment="1" applyProtection="1">
      <alignment horizontal="center"/>
      <protection locked="0"/>
    </xf>
    <xf numFmtId="0" fontId="8" fillId="0" borderId="37" xfId="0" applyFont="1" applyBorder="1" applyAlignment="1">
      <alignment horizontal="left" vertical="top" wrapText="1"/>
    </xf>
    <xf numFmtId="0" fontId="1" fillId="0" borderId="6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/>
    </xf>
    <xf numFmtId="0" fontId="8" fillId="35" borderId="33" xfId="0" applyFont="1" applyFill="1" applyBorder="1" applyAlignment="1" applyProtection="1">
      <alignment horizontal="left"/>
      <protection locked="0"/>
    </xf>
    <xf numFmtId="0" fontId="1" fillId="0" borderId="64" xfId="0" applyFont="1" applyFill="1" applyBorder="1" applyAlignment="1">
      <alignment horizontal="left"/>
    </xf>
    <xf numFmtId="0" fontId="8" fillId="0" borderId="37" xfId="0" applyFont="1" applyBorder="1" applyAlignment="1">
      <alignment horizontal="justify" vertical="top" wrapText="1"/>
    </xf>
    <xf numFmtId="0" fontId="0" fillId="0" borderId="37" xfId="0" applyFont="1" applyBorder="1" applyAlignment="1">
      <alignment horizontal="center"/>
    </xf>
    <xf numFmtId="10" fontId="0" fillId="38" borderId="35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justify" vertical="center" wrapText="1"/>
    </xf>
    <xf numFmtId="0" fontId="8" fillId="0" borderId="37" xfId="0" applyFont="1" applyBorder="1" applyAlignment="1">
      <alignment horizontal="center"/>
    </xf>
    <xf numFmtId="0" fontId="8" fillId="0" borderId="38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right"/>
    </xf>
    <xf numFmtId="0" fontId="16" fillId="35" borderId="33" xfId="0" applyFont="1" applyFill="1" applyBorder="1" applyAlignment="1" applyProtection="1">
      <alignment horizontal="center"/>
      <protection locked="0"/>
    </xf>
    <xf numFmtId="0" fontId="16" fillId="0" borderId="33" xfId="0" applyFont="1" applyBorder="1" applyAlignment="1">
      <alignment horizontal="left"/>
    </xf>
    <xf numFmtId="0" fontId="16" fillId="0" borderId="27" xfId="0" applyFont="1" applyBorder="1" applyAlignment="1">
      <alignment horizontal="right"/>
    </xf>
    <xf numFmtId="0" fontId="1" fillId="0" borderId="2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38" xfId="0" applyFont="1" applyBorder="1" applyAlignment="1">
      <alignment wrapText="1"/>
    </xf>
    <xf numFmtId="0" fontId="8" fillId="0" borderId="37" xfId="0" applyFont="1" applyBorder="1" applyAlignment="1">
      <alignment horizontal="left"/>
    </xf>
    <xf numFmtId="0" fontId="8" fillId="35" borderId="47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horizontal="left"/>
    </xf>
    <xf numFmtId="0" fontId="8" fillId="35" borderId="30" xfId="0" applyFont="1" applyFill="1" applyBorder="1" applyAlignment="1" applyProtection="1">
      <alignment horizontal="left"/>
      <protection locked="0"/>
    </xf>
    <xf numFmtId="0" fontId="1" fillId="0" borderId="46" xfId="0" applyFont="1" applyFill="1" applyBorder="1" applyAlignment="1">
      <alignment horizontal="left"/>
    </xf>
    <xf numFmtId="0" fontId="49" fillId="35" borderId="58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1" fillId="35" borderId="33" xfId="0" applyFont="1" applyFill="1" applyBorder="1" applyAlignment="1" applyProtection="1">
      <alignment horizontal="left"/>
      <protection locked="0"/>
    </xf>
    <xf numFmtId="0" fontId="1" fillId="0" borderId="45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left"/>
    </xf>
    <xf numFmtId="0" fontId="0" fillId="35" borderId="35" xfId="0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>
      <alignment horizontal="left"/>
    </xf>
    <xf numFmtId="0" fontId="46" fillId="33" borderId="38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44" fillId="35" borderId="33" xfId="0" applyFont="1" applyFill="1" applyBorder="1" applyAlignment="1" applyProtection="1">
      <alignment horizontal="center"/>
      <protection locked="0"/>
    </xf>
    <xf numFmtId="0" fontId="8" fillId="0" borderId="37" xfId="0" applyFont="1" applyBorder="1" applyAlignment="1">
      <alignment wrapText="1"/>
    </xf>
    <xf numFmtId="0" fontId="8" fillId="0" borderId="37" xfId="0" applyFont="1" applyFill="1" applyBorder="1" applyAlignment="1">
      <alignment wrapText="1"/>
    </xf>
    <xf numFmtId="0" fontId="1" fillId="0" borderId="21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36" borderId="52" xfId="0" applyFont="1" applyFill="1" applyBorder="1" applyAlignment="1" applyProtection="1">
      <alignment horizontal="right"/>
      <protection/>
    </xf>
    <xf numFmtId="0" fontId="1" fillId="36" borderId="31" xfId="0" applyFont="1" applyFill="1" applyBorder="1" applyAlignment="1" applyProtection="1">
      <alignment horizontal="right"/>
      <protection/>
    </xf>
    <xf numFmtId="0" fontId="0" fillId="36" borderId="36" xfId="0" applyFill="1" applyBorder="1" applyAlignment="1" applyProtection="1">
      <alignment horizontal="center"/>
      <protection/>
    </xf>
    <xf numFmtId="0" fontId="0" fillId="36" borderId="49" xfId="0" applyFill="1" applyBorder="1" applyAlignment="1" applyProtection="1">
      <alignment horizontal="center"/>
      <protection/>
    </xf>
    <xf numFmtId="0" fontId="18" fillId="34" borderId="54" xfId="0" applyFont="1" applyFill="1" applyBorder="1" applyAlignment="1" applyProtection="1">
      <alignment horizontal="left"/>
      <protection/>
    </xf>
    <xf numFmtId="0" fontId="13" fillId="33" borderId="49" xfId="0" applyFont="1" applyFill="1" applyBorder="1" applyAlignment="1" applyProtection="1">
      <alignment horizontal="center"/>
      <protection/>
    </xf>
    <xf numFmtId="0" fontId="0" fillId="36" borderId="49" xfId="0" applyFill="1" applyBorder="1" applyAlignment="1" applyProtection="1">
      <alignment horizontal="left" vertical="top"/>
      <protection locked="0"/>
    </xf>
    <xf numFmtId="0" fontId="0" fillId="36" borderId="49" xfId="0" applyFont="1" applyFill="1" applyBorder="1" applyAlignment="1" applyProtection="1">
      <alignment horizontal="left"/>
      <protection/>
    </xf>
    <xf numFmtId="0" fontId="1" fillId="36" borderId="31" xfId="0" applyFont="1" applyFill="1" applyBorder="1" applyAlignment="1" applyProtection="1">
      <alignment horizontal="right" vertical="center" wrapText="1"/>
      <protection/>
    </xf>
    <xf numFmtId="0" fontId="0" fillId="36" borderId="32" xfId="0" applyFont="1" applyFill="1" applyBorder="1" applyAlignment="1" applyProtection="1">
      <alignment horizontal="center" vertical="center" wrapText="1"/>
      <protection/>
    </xf>
    <xf numFmtId="0" fontId="1" fillId="36" borderId="49" xfId="0" applyFont="1" applyFill="1" applyBorder="1" applyAlignment="1" applyProtection="1">
      <alignment horizontal="center" vertical="center" wrapText="1"/>
      <protection/>
    </xf>
    <xf numFmtId="0" fontId="1" fillId="36" borderId="31" xfId="0" applyFont="1" applyFill="1" applyBorder="1" applyAlignment="1" applyProtection="1">
      <alignment horizontal="right" vertical="center"/>
      <protection/>
    </xf>
    <xf numFmtId="0" fontId="0" fillId="36" borderId="31" xfId="0" applyFont="1" applyFill="1" applyBorder="1" applyAlignment="1" applyProtection="1">
      <alignment horizontal="left"/>
      <protection/>
    </xf>
    <xf numFmtId="0" fontId="0" fillId="36" borderId="32" xfId="0" applyFont="1" applyFill="1" applyBorder="1" applyAlignment="1" applyProtection="1">
      <alignment horizontal="left"/>
      <protection/>
    </xf>
    <xf numFmtId="0" fontId="1" fillId="36" borderId="0" xfId="0" applyFont="1" applyFill="1" applyBorder="1" applyAlignment="1" applyProtection="1">
      <alignment horizontal="right" vertical="center" wrapText="1"/>
      <protection/>
    </xf>
    <xf numFmtId="0" fontId="0" fillId="36" borderId="31" xfId="0" applyFont="1" applyFill="1" applyBorder="1" applyAlignment="1" applyProtection="1">
      <alignment horizontal="left" vertical="top"/>
      <protection/>
    </xf>
    <xf numFmtId="0" fontId="0" fillId="36" borderId="32" xfId="0" applyFont="1" applyFill="1" applyBorder="1" applyAlignment="1" applyProtection="1">
      <alignment horizontal="left" vertical="top"/>
      <protection/>
    </xf>
    <xf numFmtId="0" fontId="13" fillId="33" borderId="55" xfId="0" applyFont="1" applyFill="1" applyBorder="1" applyAlignment="1" applyProtection="1">
      <alignment horizontal="center" vertical="center"/>
      <protection/>
    </xf>
    <xf numFmtId="0" fontId="1" fillId="36" borderId="31" xfId="0" applyFont="1" applyFill="1" applyBorder="1" applyAlignment="1" applyProtection="1">
      <alignment horizontal="left" vertical="center" wrapText="1"/>
      <protection/>
    </xf>
    <xf numFmtId="0" fontId="0" fillId="36" borderId="32" xfId="0" applyFont="1" applyFill="1" applyBorder="1" applyAlignment="1" applyProtection="1">
      <alignment horizontal="left" vertical="center" wrapText="1"/>
      <protection/>
    </xf>
    <xf numFmtId="0" fontId="0" fillId="36" borderId="53" xfId="0" applyFill="1" applyBorder="1" applyAlignment="1" applyProtection="1">
      <alignment horizontal="center"/>
      <protection/>
    </xf>
    <xf numFmtId="0" fontId="0" fillId="36" borderId="55" xfId="0" applyFill="1" applyBorder="1" applyAlignment="1" applyProtection="1">
      <alignment horizontal="center"/>
      <protection/>
    </xf>
    <xf numFmtId="0" fontId="0" fillId="36" borderId="37" xfId="0" applyFill="1" applyBorder="1" applyAlignment="1" applyProtection="1">
      <alignment horizontal="center"/>
      <protection/>
    </xf>
    <xf numFmtId="0" fontId="19" fillId="0" borderId="55" xfId="0" applyFont="1" applyBorder="1" applyAlignment="1" applyProtection="1">
      <alignment horizontal="center"/>
      <protection/>
    </xf>
    <xf numFmtId="0" fontId="27" fillId="36" borderId="32" xfId="0" applyFont="1" applyFill="1" applyBorder="1" applyAlignment="1" applyProtection="1">
      <alignment horizontal="center"/>
      <protection/>
    </xf>
    <xf numFmtId="0" fontId="10" fillId="36" borderId="12" xfId="0" applyFont="1" applyFill="1" applyBorder="1" applyAlignment="1" applyProtection="1">
      <alignment horizontal="center" vertical="center"/>
      <protection/>
    </xf>
    <xf numFmtId="0" fontId="3" fillId="36" borderId="49" xfId="0" applyFont="1" applyFill="1" applyBorder="1" applyAlignment="1" applyProtection="1">
      <alignment horizontal="center"/>
      <protection/>
    </xf>
    <xf numFmtId="0" fontId="11" fillId="36" borderId="49" xfId="0" applyFont="1" applyFill="1" applyBorder="1" applyAlignment="1" applyProtection="1">
      <alignment horizontal="center"/>
      <protection/>
    </xf>
    <xf numFmtId="0" fontId="12" fillId="33" borderId="55" xfId="0" applyFont="1" applyFill="1" applyBorder="1" applyAlignment="1" applyProtection="1">
      <alignment horizontal="center"/>
      <protection/>
    </xf>
    <xf numFmtId="0" fontId="13" fillId="33" borderId="49" xfId="0" applyFont="1" applyFill="1" applyBorder="1" applyAlignment="1" applyProtection="1">
      <alignment horizontal="center" vertical="center" wrapText="1"/>
      <protection/>
    </xf>
    <xf numFmtId="0" fontId="31" fillId="36" borderId="49" xfId="0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91"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  <border>
        <left/>
        <right/>
        <top/>
        <bottom/>
      </border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</xdr:rowOff>
    </xdr:from>
    <xdr:to>
      <xdr:col>0</xdr:col>
      <xdr:colOff>590550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</xdr:row>
      <xdr:rowOff>28575</xdr:rowOff>
    </xdr:from>
    <xdr:to>
      <xdr:col>6</xdr:col>
      <xdr:colOff>647700</xdr:colOff>
      <xdr:row>2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180975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0</xdr:row>
      <xdr:rowOff>76200</xdr:rowOff>
    </xdr:from>
    <xdr:to>
      <xdr:col>15</xdr:col>
      <xdr:colOff>600075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76200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28575</xdr:rowOff>
    </xdr:from>
    <xdr:to>
      <xdr:col>2</xdr:col>
      <xdr:colOff>95250</xdr:colOff>
      <xdr:row>4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0</xdr:row>
      <xdr:rowOff>66675</xdr:rowOff>
    </xdr:from>
    <xdr:to>
      <xdr:col>12</xdr:col>
      <xdr:colOff>457200</xdr:colOff>
      <xdr:row>1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66675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76200</xdr:rowOff>
    </xdr:from>
    <xdr:to>
      <xdr:col>15</xdr:col>
      <xdr:colOff>838200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7620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28575</xdr:rowOff>
    </xdr:from>
    <xdr:to>
      <xdr:col>2</xdr:col>
      <xdr:colOff>95250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76200</xdr:rowOff>
    </xdr:from>
    <xdr:to>
      <xdr:col>12</xdr:col>
      <xdr:colOff>590550</xdr:colOff>
      <xdr:row>1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0</xdr:row>
      <xdr:rowOff>28575</xdr:rowOff>
    </xdr:from>
    <xdr:to>
      <xdr:col>5</xdr:col>
      <xdr:colOff>161925</xdr:colOff>
      <xdr:row>3</xdr:row>
      <xdr:rowOff>161925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8575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85725</xdr:rowOff>
    </xdr:from>
    <xdr:to>
      <xdr:col>0</xdr:col>
      <xdr:colOff>1400175</xdr:colOff>
      <xdr:row>4</xdr:row>
      <xdr:rowOff>9525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0</xdr:row>
      <xdr:rowOff>104775</xdr:rowOff>
    </xdr:from>
    <xdr:to>
      <xdr:col>4</xdr:col>
      <xdr:colOff>485775</xdr:colOff>
      <xdr:row>1</xdr:row>
      <xdr:rowOff>76200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104775"/>
          <a:ext cx="428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0</xdr:row>
      <xdr:rowOff>28575</xdr:rowOff>
    </xdr:from>
    <xdr:to>
      <xdr:col>5</xdr:col>
      <xdr:colOff>161925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8575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85725</xdr:rowOff>
    </xdr:from>
    <xdr:to>
      <xdr:col>0</xdr:col>
      <xdr:colOff>1400175</xdr:colOff>
      <xdr:row>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104775</xdr:rowOff>
    </xdr:from>
    <xdr:to>
      <xdr:col>4</xdr:col>
      <xdr:colOff>609600</xdr:colOff>
      <xdr:row>1</xdr:row>
      <xdr:rowOff>76200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104775"/>
          <a:ext cx="581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22</xdr:row>
      <xdr:rowOff>133350</xdr:rowOff>
    </xdr:from>
    <xdr:to>
      <xdr:col>10</xdr:col>
      <xdr:colOff>0</xdr:colOff>
      <xdr:row>27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648075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638175</xdr:colOff>
      <xdr:row>23</xdr:row>
      <xdr:rowOff>95250</xdr:rowOff>
    </xdr:from>
    <xdr:to>
      <xdr:col>10</xdr:col>
      <xdr:colOff>1066800</xdr:colOff>
      <xdr:row>25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3771900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619125</xdr:colOff>
      <xdr:row>25</xdr:row>
      <xdr:rowOff>104775</xdr:rowOff>
    </xdr:from>
    <xdr:to>
      <xdr:col>10</xdr:col>
      <xdr:colOff>1200150</xdr:colOff>
      <xdr:row>27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96300" y="4105275"/>
          <a:ext cx="571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5295900</xdr:colOff>
      <xdr:row>0</xdr:row>
      <xdr:rowOff>104775</xdr:rowOff>
    </xdr:from>
    <xdr:to>
      <xdr:col>2</xdr:col>
      <xdr:colOff>6153150</xdr:colOff>
      <xdr:row>4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04775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0</xdr:col>
      <xdr:colOff>1362075</xdr:colOff>
      <xdr:row>4</xdr:row>
      <xdr:rowOff>9525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1200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4733925</xdr:colOff>
      <xdr:row>0</xdr:row>
      <xdr:rowOff>47625</xdr:rowOff>
    </xdr:from>
    <xdr:to>
      <xdr:col>2</xdr:col>
      <xdr:colOff>5153025</xdr:colOff>
      <xdr:row>1</xdr:row>
      <xdr:rowOff>28575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4762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3952875</xdr:colOff>
      <xdr:row>0</xdr:row>
      <xdr:rowOff>38100</xdr:rowOff>
    </xdr:from>
    <xdr:to>
      <xdr:col>2</xdr:col>
      <xdr:colOff>4810125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8100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142875</xdr:rowOff>
    </xdr:from>
    <xdr:to>
      <xdr:col>0</xdr:col>
      <xdr:colOff>1362075</xdr:colOff>
      <xdr:row>3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09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3352800</xdr:colOff>
      <xdr:row>0</xdr:row>
      <xdr:rowOff>66675</xdr:rowOff>
    </xdr:from>
    <xdr:to>
      <xdr:col>2</xdr:col>
      <xdr:colOff>3924300</xdr:colOff>
      <xdr:row>1</xdr:row>
      <xdr:rowOff>38100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66675"/>
          <a:ext cx="571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2428875</xdr:colOff>
      <xdr:row>0</xdr:row>
      <xdr:rowOff>9525</xdr:rowOff>
    </xdr:from>
    <xdr:to>
      <xdr:col>4</xdr:col>
      <xdr:colOff>476250</xdr:colOff>
      <xdr:row>3</xdr:row>
      <xdr:rowOff>161925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95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0</xdr:col>
      <xdr:colOff>1162050</xdr:colOff>
      <xdr:row>3</xdr:row>
      <xdr:rowOff>85725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1009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1895475</xdr:colOff>
      <xdr:row>0</xdr:row>
      <xdr:rowOff>76200</xdr:rowOff>
    </xdr:from>
    <xdr:to>
      <xdr:col>2</xdr:col>
      <xdr:colOff>2333625</xdr:colOff>
      <xdr:row>1</xdr:row>
      <xdr:rowOff>47625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76200"/>
          <a:ext cx="428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5</xdr:col>
      <xdr:colOff>47625</xdr:colOff>
      <xdr:row>3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152400</xdr:rowOff>
    </xdr:from>
    <xdr:to>
      <xdr:col>0</xdr:col>
      <xdr:colOff>1133475</xdr:colOff>
      <xdr:row>3</xdr:row>
      <xdr:rowOff>104775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52400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2505075</xdr:colOff>
      <xdr:row>0</xdr:row>
      <xdr:rowOff>66675</xdr:rowOff>
    </xdr:from>
    <xdr:to>
      <xdr:col>4</xdr:col>
      <xdr:colOff>257175</xdr:colOff>
      <xdr:row>1</xdr:row>
      <xdr:rowOff>38100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66675"/>
          <a:ext cx="581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190500</xdr:rowOff>
    </xdr:from>
    <xdr:to>
      <xdr:col>0</xdr:col>
      <xdr:colOff>1076325</xdr:colOff>
      <xdr:row>3</xdr:row>
      <xdr:rowOff>123825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790575</xdr:colOff>
      <xdr:row>0</xdr:row>
      <xdr:rowOff>0</xdr:rowOff>
    </xdr:from>
    <xdr:to>
      <xdr:col>5</xdr:col>
      <xdr:colOff>209550</xdr:colOff>
      <xdr:row>3</xdr:row>
      <xdr:rowOff>152400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0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66675</xdr:rowOff>
    </xdr:from>
    <xdr:to>
      <xdr:col>4</xdr:col>
      <xdr:colOff>447675</xdr:colOff>
      <xdr:row>1</xdr:row>
      <xdr:rowOff>38100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66675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190500</xdr:rowOff>
    </xdr:from>
    <xdr:to>
      <xdr:col>0</xdr:col>
      <xdr:colOff>1076325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790575</xdr:colOff>
      <xdr:row>0</xdr:row>
      <xdr:rowOff>0</xdr:rowOff>
    </xdr:from>
    <xdr:to>
      <xdr:col>5</xdr:col>
      <xdr:colOff>209550</xdr:colOff>
      <xdr:row>3</xdr:row>
      <xdr:rowOff>152400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0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38100</xdr:rowOff>
    </xdr:from>
    <xdr:to>
      <xdr:col>4</xdr:col>
      <xdr:colOff>590550</xdr:colOff>
      <xdr:row>1</xdr:row>
      <xdr:rowOff>9525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38100"/>
          <a:ext cx="561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2</xdr:col>
      <xdr:colOff>95250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47625</xdr:rowOff>
    </xdr:from>
    <xdr:to>
      <xdr:col>15</xdr:col>
      <xdr:colOff>600075</xdr:colOff>
      <xdr:row>4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4762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12</xdr:col>
      <xdr:colOff>447675</xdr:colOff>
      <xdr:row>1</xdr:row>
      <xdr:rowOff>161925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66675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2</xdr:col>
      <xdr:colOff>95250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47625</xdr:rowOff>
    </xdr:from>
    <xdr:to>
      <xdr:col>15</xdr:col>
      <xdr:colOff>600075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4762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76200</xdr:rowOff>
    </xdr:from>
    <xdr:to>
      <xdr:col>12</xdr:col>
      <xdr:colOff>590550</xdr:colOff>
      <xdr:row>1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A46" sqref="A46"/>
    </sheetView>
  </sheetViews>
  <sheetFormatPr defaultColWidth="11.421875" defaultRowHeight="12.75"/>
  <cols>
    <col min="1" max="1" width="11.28125" style="0" customWidth="1"/>
    <col min="2" max="2" width="18.7109375" style="0" customWidth="1"/>
    <col min="3" max="3" width="19.140625" style="0" customWidth="1"/>
    <col min="4" max="4" width="18.28125" style="0" customWidth="1"/>
    <col min="5" max="5" width="15.7109375" style="0" customWidth="1"/>
    <col min="6" max="6" width="16.8515625" style="0" customWidth="1"/>
    <col min="7" max="7" width="10.8515625" style="0" customWidth="1"/>
  </cols>
  <sheetData>
    <row r="1" spans="1:7" ht="12">
      <c r="A1" s="1" t="s">
        <v>0</v>
      </c>
      <c r="G1" s="1" t="s">
        <v>1</v>
      </c>
    </row>
    <row r="2" spans="2:6" ht="12">
      <c r="B2" s="362" t="str">
        <f>IF($A$4=TRUE,"Avant de commencer, prenez note des dates de retours des fiches et documents.  Complétez les fiches de ce dossier et envoyez-le à l'adresse suivante  :  amandine.gueurce@planete-sciences.org",IF($G$4=TRUE,"Before all, read carefully the return date of the required forms and documents.  Fill the forms of this file and send it to: amandine.gueurce@planete-sciences.org","  &lt;----- Choisissez votre langue / Choose your language ----&gt;"))</f>
        <v>  &lt;----- Choisissez votre langue / Choose your language ----&gt;</v>
      </c>
      <c r="C2" s="362"/>
      <c r="D2" s="362"/>
      <c r="E2" s="362"/>
      <c r="F2" s="362"/>
    </row>
    <row r="3" spans="2:6" ht="12">
      <c r="B3" s="362"/>
      <c r="C3" s="362"/>
      <c r="D3" s="362"/>
      <c r="E3" s="362"/>
      <c r="F3" s="362"/>
    </row>
    <row r="4" spans="1:7" ht="15.75" customHeight="1">
      <c r="A4" s="2" t="b">
        <v>0</v>
      </c>
      <c r="B4" s="362"/>
      <c r="C4" s="362"/>
      <c r="D4" s="362"/>
      <c r="E4" s="362"/>
      <c r="F4" s="362"/>
      <c r="G4" s="3" t="b">
        <v>0</v>
      </c>
    </row>
    <row r="5" spans="2:6" ht="12">
      <c r="B5" s="4"/>
      <c r="C5" s="4"/>
      <c r="D5" s="4"/>
      <c r="E5" s="4"/>
      <c r="F5" s="4"/>
    </row>
    <row r="6" spans="1:7" ht="18">
      <c r="A6" s="5"/>
      <c r="B6" s="361" t="s">
        <v>2</v>
      </c>
      <c r="C6" s="361"/>
      <c r="D6" s="361"/>
      <c r="E6" s="361"/>
      <c r="F6" s="361"/>
      <c r="G6" s="6"/>
    </row>
    <row r="8" spans="1:7" ht="12">
      <c r="A8" s="7"/>
      <c r="B8" s="359">
        <f>IF($A$4=TRUE,"MINIFUSEES",IF($G$4=TRUE,"MINI-ROCKETS",""))</f>
      </c>
      <c r="C8" s="359"/>
      <c r="D8" s="359"/>
      <c r="E8" s="359"/>
      <c r="F8" s="359"/>
      <c r="G8" s="7"/>
    </row>
    <row r="9" spans="1:6" ht="6" customHeight="1">
      <c r="A9" s="8"/>
      <c r="B9" s="9"/>
      <c r="C9" s="10"/>
      <c r="D9" s="10"/>
      <c r="E9" s="10"/>
      <c r="F9" s="11"/>
    </row>
    <row r="10" spans="2:6" ht="20.25" customHeight="1">
      <c r="B10" s="12">
        <f>IF($A$4=TRUE,"A renvoyer avant le :",IF($G$4=TRUE,"To be returned before:",""))</f>
      </c>
      <c r="C10" s="13">
        <f>IF($A$4=TRUE,Date1_fr,IF($G$4=TRUE,Date1_en,""))</f>
      </c>
      <c r="D10" s="14">
        <f>IF($A$4=TRUE,Date2_fr,IF($G$4=TRUE,Date2_en,""))</f>
      </c>
      <c r="E10" s="14">
        <f>IF($A$4=TRUE,Date3_fr,IF($G$4=TRUE,Date3_en,""))</f>
      </c>
      <c r="F10" s="15">
        <f>IF($A$4=TRUE,Date4_fr,IF($G$4=TRUE,Date4_en,""))</f>
      </c>
    </row>
    <row r="11" spans="2:6" ht="12">
      <c r="B11" s="16">
        <f>IF($A$4=TRUE,"Déclaration",IF($G$4=TRUE,"Registration",""))</f>
      </c>
      <c r="C11" s="17" t="s">
        <v>3</v>
      </c>
      <c r="D11" s="18"/>
      <c r="E11" s="18"/>
      <c r="F11" s="19"/>
    </row>
    <row r="12" spans="2:6" ht="12">
      <c r="B12" s="16">
        <f>IF($A$4=TRUE,"Définition",IF($G$4=TRUE,"Definition",""))</f>
      </c>
      <c r="C12" s="20"/>
      <c r="D12" s="21" t="s">
        <v>3</v>
      </c>
      <c r="E12" s="22"/>
      <c r="F12" s="23"/>
    </row>
    <row r="13" spans="2:6" ht="12">
      <c r="B13" s="16">
        <f>IF($A$4=TRUE,"Fiche Technique",IF($G$4=TRUE,"Technical File",""))</f>
      </c>
      <c r="C13" s="20"/>
      <c r="D13" s="22"/>
      <c r="E13" s="22"/>
      <c r="F13" s="23"/>
    </row>
    <row r="14" spans="2:6" ht="12">
      <c r="B14" s="16">
        <f>IF($A$4=TRUE,"Avancement_minif",IF($G$4=TRUE,"Progress_mini-rocket",""))</f>
      </c>
      <c r="C14" s="20"/>
      <c r="D14" s="21" t="s">
        <v>3</v>
      </c>
      <c r="E14" s="21" t="s">
        <v>3</v>
      </c>
      <c r="F14" s="24" t="s">
        <v>3</v>
      </c>
    </row>
    <row r="15" spans="2:6" ht="12">
      <c r="B15" s="16">
        <f>IF($A$4=TRUE,"Avancement fusex",IF($G$4=TRUE,"Progress_fusex",""))</f>
      </c>
      <c r="C15" s="20"/>
      <c r="D15" s="22"/>
      <c r="E15" s="22"/>
      <c r="F15" s="23"/>
    </row>
    <row r="16" spans="2:6" ht="12">
      <c r="B16" s="25">
        <f>IF($A$4=TRUE,"Dérogation",IF($G$4=TRUE,"Derogation",""))</f>
      </c>
      <c r="C16" s="26"/>
      <c r="D16" s="27"/>
      <c r="E16" s="28" t="s">
        <v>3</v>
      </c>
      <c r="F16" s="29"/>
    </row>
    <row r="18" spans="1:7" ht="12">
      <c r="A18" s="7"/>
      <c r="B18" s="359">
        <f>IF($A$4=TRUE,"FUSEES EXPERIMENTALES",IF($G$4=TRUE,"EXPERIMENTAL ROCKETS",""))</f>
      </c>
      <c r="C18" s="359"/>
      <c r="D18" s="359"/>
      <c r="E18" s="359"/>
      <c r="F18" s="359"/>
      <c r="G18" s="7"/>
    </row>
    <row r="19" spans="1:6" ht="6" customHeight="1">
      <c r="A19" s="8"/>
      <c r="B19" s="9"/>
      <c r="C19" s="10"/>
      <c r="D19" s="10"/>
      <c r="E19" s="10"/>
      <c r="F19" s="11"/>
    </row>
    <row r="20" spans="2:6" ht="20.25" customHeight="1">
      <c r="B20" s="12">
        <f>IF($A$4=TRUE,"A renvoyer avant le :",IF($G$4=TRUE,"To be returned before:",""))</f>
      </c>
      <c r="C20" s="30">
        <f>IF($A$4=TRUE,Date1_fr,IF($G$4=TRUE,Date1_en,""))</f>
      </c>
      <c r="D20" s="14">
        <f>IF($A$4=TRUE,Date2_fr,IF($G$4=TRUE,Date2_en,""))</f>
      </c>
      <c r="E20" s="14">
        <f>IF($A$4=TRUE,Date3_fr,IF($G$4=TRUE,Date3_en,""))</f>
      </c>
      <c r="F20" s="15">
        <f>IF($A$4=TRUE,Date4_fr,IF($G$4=TRUE,Date4_en,""))</f>
      </c>
    </row>
    <row r="21" spans="2:6" ht="12">
      <c r="B21" s="16">
        <f>IF($A$4=TRUE,"Déclaration",IF($G$4=TRUE,"Registration",""))</f>
      </c>
      <c r="C21" s="17" t="s">
        <v>3</v>
      </c>
      <c r="D21" s="18"/>
      <c r="E21" s="18"/>
      <c r="F21" s="19"/>
    </row>
    <row r="22" spans="2:6" ht="12">
      <c r="B22" s="16">
        <f>IF($A$4=TRUE,"Définition",IF($G$4=TRUE,"Definition",""))</f>
      </c>
      <c r="C22" s="20"/>
      <c r="D22" s="21" t="s">
        <v>3</v>
      </c>
      <c r="E22" s="22"/>
      <c r="F22" s="23"/>
    </row>
    <row r="23" spans="2:6" ht="12">
      <c r="B23" s="16">
        <f>IF($A$4=TRUE,"Fiche Technique",IF($G$4=TRUE,"Technical File",""))</f>
      </c>
      <c r="C23" s="20"/>
      <c r="D23" s="22"/>
      <c r="E23" s="21" t="s">
        <v>3</v>
      </c>
      <c r="F23" s="24" t="s">
        <v>3</v>
      </c>
    </row>
    <row r="24" spans="2:6" ht="12">
      <c r="B24" s="16">
        <f>IF($A$4=TRUE,"Avancement_minif",IF($G$4=TRUE,"Progress_mini-rocket",""))</f>
      </c>
      <c r="C24" s="20"/>
      <c r="D24" s="22"/>
      <c r="E24" s="22"/>
      <c r="F24" s="23"/>
    </row>
    <row r="25" spans="2:6" ht="12">
      <c r="B25" s="16">
        <f>IF($A$4=TRUE,"Avancement fusex",IF($G$4=TRUE,"Progress_fusex",""))</f>
      </c>
      <c r="C25" s="20"/>
      <c r="D25" s="21" t="s">
        <v>3</v>
      </c>
      <c r="E25" s="21" t="s">
        <v>3</v>
      </c>
      <c r="F25" s="24" t="s">
        <v>3</v>
      </c>
    </row>
    <row r="26" spans="2:6" ht="12">
      <c r="B26" s="25">
        <f>IF($A$4=TRUE,"Dérogation",IF($G$4=TRUE,"Derogation",""))</f>
      </c>
      <c r="C26" s="26"/>
      <c r="D26" s="27"/>
      <c r="E26" s="28" t="s">
        <v>3</v>
      </c>
      <c r="F26" s="29"/>
    </row>
    <row r="28" spans="1:7" ht="12">
      <c r="A28" s="7"/>
      <c r="B28" s="359">
        <f>IF($A$4=TRUE,"BALLONS",IF($G$4=TRUE,"BALLOONS",""))</f>
      </c>
      <c r="C28" s="359"/>
      <c r="D28" s="359"/>
      <c r="E28" s="359"/>
      <c r="F28" s="359"/>
      <c r="G28" s="7"/>
    </row>
    <row r="29" spans="2:6" ht="6" customHeight="1">
      <c r="B29" s="12"/>
      <c r="C29" s="31"/>
      <c r="D29" s="31"/>
      <c r="E29" s="31"/>
      <c r="F29" s="32"/>
    </row>
    <row r="30" spans="2:6" ht="19.5" customHeight="1">
      <c r="B30" s="12">
        <f>IF($A$4=TRUE,"A renvoyer avant le :",IF($G$4=TRUE,"To be returned before:",""))</f>
      </c>
      <c r="C30" s="30">
        <f>IF($A$4=TRUE,Date1_fr,IF($G$4=TRUE,Date1_en,""))</f>
      </c>
      <c r="D30" s="14">
        <f>IF($A$4=TRUE,Date2_fr,IF($G$4=TRUE,Date2_en,""))</f>
      </c>
      <c r="E30" s="14">
        <f>IF($A$4=TRUE,Date3_fr,IF($G$4=TRUE,Date3_en,""))</f>
      </c>
      <c r="F30" s="15">
        <f>IF($A$4=TRUE,Date4_fr,IF($G$4=TRUE,Date4_en,""))</f>
      </c>
    </row>
    <row r="31" spans="2:6" ht="12">
      <c r="B31" s="16">
        <f>IF($A$4=TRUE,"Déclaration",IF($G$4=TRUE,"Registration",""))</f>
      </c>
      <c r="C31" s="17" t="s">
        <v>3</v>
      </c>
      <c r="D31" s="18"/>
      <c r="E31" s="18"/>
      <c r="F31" s="19"/>
    </row>
    <row r="32" spans="2:6" ht="12">
      <c r="B32" s="16">
        <f>IF($A$4=TRUE,"Définition",IF($G$4=TRUE,"Definition",""))</f>
      </c>
      <c r="C32" s="20"/>
      <c r="D32" s="21" t="s">
        <v>3</v>
      </c>
      <c r="E32" s="22"/>
      <c r="F32" s="23"/>
    </row>
    <row r="33" spans="2:6" ht="12">
      <c r="B33" s="16">
        <f>IF($A$4=TRUE,"Fiche Technique",IF($G$4=TRUE,"Technical File",""))</f>
      </c>
      <c r="C33" s="360">
        <f>IF($A$4=TRUE,"2 mois avant le lâcher",IF($G$4=TRUE,"2 months before lift-off",""))</f>
      </c>
      <c r="D33" s="360"/>
      <c r="E33" s="360"/>
      <c r="F33" s="360"/>
    </row>
    <row r="34" spans="2:6" ht="12">
      <c r="B34" s="16">
        <f>IF($A$4=TRUE,"Avancement_minif",IF($G$4=TRUE,"Progress_mini-rocket",""))</f>
      </c>
      <c r="C34" s="20"/>
      <c r="D34" s="22"/>
      <c r="E34" s="22"/>
      <c r="F34" s="23"/>
    </row>
    <row r="35" spans="2:6" ht="12">
      <c r="B35" s="16">
        <f>IF($A$4=TRUE,"Avancement fusex",IF($G$4=TRUE,"Progress_fusex",""))</f>
      </c>
      <c r="C35" s="20"/>
      <c r="D35" s="22"/>
      <c r="E35" s="22"/>
      <c r="F35" s="23"/>
    </row>
    <row r="36" spans="2:6" ht="12">
      <c r="B36" s="25">
        <f>IF($A$4=TRUE,"Dérogation",IF($G$4=TRUE,"Derogation",""))</f>
      </c>
      <c r="C36" s="26"/>
      <c r="D36" s="27"/>
      <c r="E36" s="28" t="s">
        <v>3</v>
      </c>
      <c r="F36" s="29"/>
    </row>
    <row r="39" spans="1:7" ht="18">
      <c r="A39" s="5"/>
      <c r="B39" s="361">
        <f>IF($A$4=TRUE,"COMMENT REMPLIR CES FICHES ?",IF($G$4=TRUE,"HOW TO FILL THESES FORMS ?",""))</f>
      </c>
      <c r="C39" s="361"/>
      <c r="D39" s="361"/>
      <c r="E39" s="361"/>
      <c r="F39" s="361"/>
      <c r="G39" s="5"/>
    </row>
    <row r="41" spans="1:6" ht="12.75">
      <c r="A41" s="33">
        <f>IF($A$4=TRUE,"Pour chaque onglet, les zones de selection sont matérialisées ainsi : ",IF($G$4=TRUE,"Cells with a proposed selection are highlighted like this: ",""))</f>
      </c>
      <c r="B41" s="34"/>
      <c r="C41" s="34"/>
      <c r="D41" s="34"/>
      <c r="F41" s="35">
        <f>IF($A$4=TRUE,"Sélectionner...",IF($G$4=TRUE,"Select...",""))</f>
      </c>
    </row>
    <row r="42" spans="1:6" ht="12.75">
      <c r="A42" s="36">
        <f>IF($A$4=TRUE,"Certaines zones se remplissent automatiquement en fonction des informations préalablement saisies.",IF($G$4=TRUE,"Some cells are filled automatically based on previous selections or inputs",""))</f>
      </c>
      <c r="B42" s="37"/>
      <c r="C42" s="37"/>
      <c r="D42" s="37"/>
      <c r="E42" s="37"/>
      <c r="F42" s="37"/>
    </row>
    <row r="43" spans="1:6" ht="12.75">
      <c r="A43" s="36">
        <f>IF($A$4=TRUE,"En fin de page et si nécessaire, la liste des documents à joindre est rappelée.",IF($G$4=TRUE,"A list of the required documents is included at the end of the forms",""))</f>
      </c>
      <c r="B43" s="37"/>
      <c r="C43" s="37"/>
      <c r="D43" s="37"/>
      <c r="E43" s="37"/>
      <c r="F43" s="37"/>
    </row>
    <row r="44" spans="1:6" ht="12">
      <c r="A44" s="37"/>
      <c r="B44" s="37"/>
      <c r="C44" s="37"/>
      <c r="D44" s="37"/>
      <c r="E44" s="37"/>
      <c r="F44" s="37"/>
    </row>
    <row r="45" ht="12">
      <c r="A45" s="38" t="s">
        <v>764</v>
      </c>
    </row>
  </sheetData>
  <sheetProtection password="DD05" sheet="1" objects="1" scenarios="1"/>
  <mergeCells count="7">
    <mergeCell ref="B28:F28"/>
    <mergeCell ref="C33:F33"/>
    <mergeCell ref="B39:F39"/>
    <mergeCell ref="B2:F4"/>
    <mergeCell ref="B6:F6"/>
    <mergeCell ref="B8:F8"/>
    <mergeCell ref="B18:F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L228"/>
  <sheetViews>
    <sheetView showGridLines="0" zoomScaleSheetLayoutView="100" workbookViewId="0" topLeftCell="A1">
      <selection activeCell="K86" sqref="K86"/>
    </sheetView>
  </sheetViews>
  <sheetFormatPr defaultColWidth="11.57421875" defaultRowHeight="12.75"/>
  <cols>
    <col min="1" max="1" width="14.421875" style="39" customWidth="1"/>
    <col min="2" max="2" width="5.00390625" style="39" customWidth="1"/>
    <col min="3" max="3" width="9.28125" style="39" customWidth="1"/>
    <col min="4" max="4" width="10.8515625" style="39" customWidth="1"/>
    <col min="5" max="5" width="2.7109375" style="39" customWidth="1"/>
    <col min="6" max="6" width="17.7109375" style="39" customWidth="1"/>
    <col min="7" max="7" width="3.140625" style="39" customWidth="1"/>
    <col min="8" max="9" width="3.7109375" style="39" customWidth="1"/>
    <col min="10" max="10" width="4.140625" style="39" customWidth="1"/>
    <col min="11" max="11" width="7.140625" style="39" customWidth="1"/>
    <col min="12" max="12" width="7.28125" style="39" customWidth="1"/>
    <col min="13" max="13" width="8.8515625" style="39" customWidth="1"/>
    <col min="14" max="14" width="9.140625" style="39" customWidth="1"/>
    <col min="15" max="15" width="1.421875" style="39" customWidth="1"/>
    <col min="16" max="16" width="11.421875" style="39" customWidth="1"/>
    <col min="17" max="17" width="6.421875" style="39" customWidth="1"/>
    <col min="18" max="18" width="2.421875" style="39" customWidth="1"/>
    <col min="19" max="16384" width="11.421875" style="39" customWidth="1"/>
  </cols>
  <sheetData>
    <row r="1" ht="12">
      <c r="A1" s="46"/>
    </row>
    <row r="2" spans="1:17" ht="18">
      <c r="A2" s="565" t="s">
        <v>286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4" spans="1:17" ht="18">
      <c r="A4" s="565" t="str">
        <f>ANNEE</f>
        <v>2011-2012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</row>
    <row r="6" spans="1:18" ht="16.5">
      <c r="A6" s="566" t="s">
        <v>9</v>
      </c>
      <c r="B6" s="566"/>
      <c r="C6" s="566"/>
      <c r="D6" s="591" t="str">
        <f>IF('1-Déclaration'!B14=Source!A4,'1-Déclaration'!B12,"")</f>
        <v>PERSEUS Ares07EvoP2 (Ares-EVE4)</v>
      </c>
      <c r="E6" s="591"/>
      <c r="F6" s="591"/>
      <c r="G6" s="591"/>
      <c r="H6" s="566" t="s">
        <v>287</v>
      </c>
      <c r="I6" s="566"/>
      <c r="J6" s="566"/>
      <c r="K6" s="566"/>
      <c r="L6" s="566"/>
      <c r="M6" s="566"/>
      <c r="N6" s="591"/>
      <c r="O6" s="591"/>
      <c r="P6" s="591"/>
      <c r="Q6" s="290"/>
      <c r="R6" s="291"/>
    </row>
    <row r="7" spans="1:18" ht="1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292"/>
      <c r="R7" s="291"/>
    </row>
    <row r="8" spans="1:18" ht="16.5">
      <c r="A8" s="566" t="s">
        <v>10</v>
      </c>
      <c r="B8" s="566"/>
      <c r="C8" s="566"/>
      <c r="D8" s="568" t="s">
        <v>574</v>
      </c>
      <c r="E8" s="568"/>
      <c r="F8" s="568"/>
      <c r="G8" s="568"/>
      <c r="H8" s="566" t="s">
        <v>289</v>
      </c>
      <c r="I8" s="566"/>
      <c r="J8" s="566"/>
      <c r="K8" s="566"/>
      <c r="L8" s="566"/>
      <c r="M8" s="566"/>
      <c r="N8" s="120">
        <f>(N18+N81+N108+N142+N160+N179+N199+N214)/100</f>
        <v>0</v>
      </c>
      <c r="O8" s="121"/>
      <c r="P8" s="122"/>
      <c r="Q8" s="290"/>
      <c r="R8" s="291"/>
    </row>
    <row r="9" spans="1:18" ht="13.5" customHeight="1">
      <c r="A9" s="124"/>
      <c r="B9" s="125"/>
      <c r="C9" s="125"/>
      <c r="D9" s="125"/>
      <c r="E9" s="125"/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293"/>
      <c r="R9" s="291"/>
    </row>
    <row r="10" spans="1:18" ht="13.5" customHeight="1">
      <c r="A10" s="588" t="s">
        <v>291</v>
      </c>
      <c r="B10" s="588"/>
      <c r="C10" s="130">
        <f>N18</f>
        <v>0</v>
      </c>
      <c r="D10" s="129"/>
      <c r="E10" s="129"/>
      <c r="F10" s="129"/>
      <c r="G10" s="588" t="s">
        <v>293</v>
      </c>
      <c r="H10" s="588"/>
      <c r="I10" s="588"/>
      <c r="J10" s="588"/>
      <c r="K10" s="130">
        <f>N160</f>
        <v>0</v>
      </c>
      <c r="L10" s="127"/>
      <c r="M10" s="127"/>
      <c r="N10" s="127"/>
      <c r="O10" s="127"/>
      <c r="P10" s="127"/>
      <c r="Q10" s="293"/>
      <c r="R10" s="291"/>
    </row>
    <row r="11" spans="1:18" ht="13.5" customHeight="1">
      <c r="A11" s="588" t="s">
        <v>292</v>
      </c>
      <c r="B11" s="588"/>
      <c r="C11" s="130">
        <f>N81</f>
        <v>0</v>
      </c>
      <c r="D11" s="129"/>
      <c r="E11" s="129"/>
      <c r="F11" s="129"/>
      <c r="G11" s="588" t="s">
        <v>294</v>
      </c>
      <c r="H11" s="588"/>
      <c r="I11" s="588"/>
      <c r="J11" s="588"/>
      <c r="K11" s="130">
        <f>N179</f>
        <v>0</v>
      </c>
      <c r="L11" s="127"/>
      <c r="M11" s="127"/>
      <c r="N11" s="127"/>
      <c r="O11" s="127"/>
      <c r="P11" s="127"/>
      <c r="Q11" s="293"/>
      <c r="R11" s="291"/>
    </row>
    <row r="12" spans="1:17" ht="13.5" customHeight="1">
      <c r="A12" s="588" t="s">
        <v>397</v>
      </c>
      <c r="B12" s="588"/>
      <c r="C12" s="128">
        <f>N108</f>
        <v>0</v>
      </c>
      <c r="G12" s="588" t="s">
        <v>575</v>
      </c>
      <c r="H12" s="588"/>
      <c r="I12" s="588"/>
      <c r="J12" s="588"/>
      <c r="K12" s="128">
        <f>N199</f>
        <v>0</v>
      </c>
      <c r="L12" s="131"/>
      <c r="M12" s="131"/>
      <c r="N12" s="131"/>
      <c r="O12" s="131"/>
      <c r="P12" s="132"/>
      <c r="Q12" s="131"/>
    </row>
    <row r="13" spans="1:17" ht="13.5" customHeight="1">
      <c r="A13" s="588" t="s">
        <v>427</v>
      </c>
      <c r="B13" s="588"/>
      <c r="C13" s="128">
        <f>N142</f>
        <v>0</v>
      </c>
      <c r="G13" s="588" t="s">
        <v>369</v>
      </c>
      <c r="H13" s="588"/>
      <c r="I13" s="588"/>
      <c r="J13" s="588"/>
      <c r="K13" s="128">
        <f>N214</f>
        <v>0</v>
      </c>
      <c r="P13" s="46"/>
      <c r="Q13" s="133"/>
    </row>
    <row r="14" spans="1:17" ht="13.5" customHeight="1">
      <c r="A14" s="134"/>
      <c r="B14" s="134"/>
      <c r="G14" s="135"/>
      <c r="H14" s="135"/>
      <c r="I14" s="135"/>
      <c r="J14" s="135"/>
      <c r="K14" s="136"/>
      <c r="P14" s="46"/>
      <c r="Q14" s="46"/>
    </row>
    <row r="15" spans="1:17" ht="13.5" customHeight="1">
      <c r="A15" s="590" t="s">
        <v>295</v>
      </c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46"/>
    </row>
    <row r="16" spans="1:17" ht="13.5" customHeight="1">
      <c r="A16" s="589" t="s">
        <v>576</v>
      </c>
      <c r="B16" s="589"/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46"/>
    </row>
    <row r="17" spans="1:17" ht="13.5" customHeight="1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46"/>
    </row>
    <row r="18" spans="1:17" s="256" customFormat="1" ht="15">
      <c r="A18" s="54" t="s">
        <v>291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 t="s">
        <v>577</v>
      </c>
      <c r="N18" s="145">
        <f>IF(AND(NOT(EXACT(L25,"")),NOT(EXACT(L78,""))),(L25+L78)*100,IF(AND(EXACT(L25,""),NOT(EXACT(L78,""))),L78*100,IF(AND(NOT(EXACT(L25,"")),EXACT(L78,"")),L25*100,0)))</f>
        <v>0</v>
      </c>
      <c r="O18" s="55" t="s">
        <v>297</v>
      </c>
      <c r="P18" s="146">
        <f>(K25+K78)*100</f>
        <v>10</v>
      </c>
      <c r="Q18" s="295"/>
    </row>
    <row r="19" spans="1:17" s="256" customFormat="1" ht="12">
      <c r="A19" s="296"/>
      <c r="B19" s="297"/>
      <c r="C19" s="297"/>
      <c r="D19" s="297"/>
      <c r="E19" s="297"/>
      <c r="F19" s="297"/>
      <c r="G19" s="298"/>
      <c r="H19" s="298"/>
      <c r="I19" s="298"/>
      <c r="J19" s="299"/>
      <c r="K19" s="298"/>
      <c r="L19" s="298"/>
      <c r="M19" s="149" t="s">
        <v>298</v>
      </c>
      <c r="N19" s="300"/>
      <c r="O19" s="300"/>
      <c r="P19" s="301"/>
      <c r="Q19" s="298"/>
    </row>
    <row r="20" spans="1:17" ht="12">
      <c r="A20" s="221"/>
      <c r="B20" s="222"/>
      <c r="C20" s="222"/>
      <c r="D20" s="222"/>
      <c r="E20" s="222"/>
      <c r="F20" s="222"/>
      <c r="G20" s="223"/>
      <c r="H20" s="151">
        <v>0</v>
      </c>
      <c r="I20" s="152">
        <v>0.5</v>
      </c>
      <c r="J20" s="152">
        <v>1</v>
      </c>
      <c r="K20" s="223"/>
      <c r="L20" s="67"/>
      <c r="M20" s="201"/>
      <c r="N20" s="202"/>
      <c r="O20" s="202"/>
      <c r="P20" s="65"/>
      <c r="Q20" s="46"/>
    </row>
    <row r="21" spans="1:17" ht="13.5" customHeight="1">
      <c r="A21" s="57"/>
      <c r="B21" s="148"/>
      <c r="C21" s="148"/>
      <c r="D21" s="153"/>
      <c r="E21" s="148"/>
      <c r="F21" s="154"/>
      <c r="G21" s="46"/>
      <c r="H21" s="544" t="s">
        <v>299</v>
      </c>
      <c r="I21" s="544" t="s">
        <v>300</v>
      </c>
      <c r="J21" s="544" t="s">
        <v>301</v>
      </c>
      <c r="K21" s="46"/>
      <c r="L21" s="46"/>
      <c r="M21" s="155" t="s">
        <v>302</v>
      </c>
      <c r="N21" s="156"/>
      <c r="O21" s="156"/>
      <c r="P21" s="65"/>
      <c r="Q21" s="46"/>
    </row>
    <row r="22" spans="1:17" ht="12">
      <c r="A22" s="157" t="s">
        <v>303</v>
      </c>
      <c r="B22" s="148"/>
      <c r="C22" s="148"/>
      <c r="D22" s="158"/>
      <c r="E22" s="159"/>
      <c r="F22" s="160"/>
      <c r="G22" s="161"/>
      <c r="H22" s="544"/>
      <c r="I22" s="544"/>
      <c r="J22" s="544"/>
      <c r="K22" s="162" t="s">
        <v>304</v>
      </c>
      <c r="L22" s="203" t="s">
        <v>305</v>
      </c>
      <c r="M22" s="238" t="s">
        <v>578</v>
      </c>
      <c r="N22" s="239"/>
      <c r="O22" s="239"/>
      <c r="P22" s="65"/>
      <c r="Q22" s="46"/>
    </row>
    <row r="23" spans="1:17" ht="12">
      <c r="A23" s="258" t="s">
        <v>579</v>
      </c>
      <c r="B23" s="259"/>
      <c r="C23" s="259"/>
      <c r="D23" s="302"/>
      <c r="E23" s="259"/>
      <c r="F23" s="302"/>
      <c r="G23" s="303"/>
      <c r="H23" s="208"/>
      <c r="I23" s="208"/>
      <c r="J23" s="208"/>
      <c r="K23" s="224">
        <v>0.02</v>
      </c>
      <c r="L23" s="210">
        <f>IF(AND(EXACT(H23,""),EXACT(I23,""),EXACT(J23,"")),"",IF(NOT(EXACT(J23,"")),IF(NOT(EXACT(K23,"")),K23*$J$20,""),IF(NOT(EXACT(I23,"")),IF(NOT(EXACT(K23,"")),K23*$I$20,""),IF(NOT(EXACT(H23,"")),IF(NOT(EXACT(K23,"")),K23*$H$20,"")))))</f>
      </c>
      <c r="M23" s="251" t="s">
        <v>580</v>
      </c>
      <c r="N23" s="252"/>
      <c r="O23" s="252"/>
      <c r="P23" s="65"/>
      <c r="Q23" s="46"/>
    </row>
    <row r="24" spans="1:17" ht="12">
      <c r="A24" s="258" t="s">
        <v>581</v>
      </c>
      <c r="B24" s="259"/>
      <c r="C24" s="259"/>
      <c r="D24" s="302"/>
      <c r="E24" s="259"/>
      <c r="F24" s="302"/>
      <c r="G24" s="303"/>
      <c r="H24" s="208"/>
      <c r="I24" s="208"/>
      <c r="J24" s="208"/>
      <c r="K24" s="224">
        <v>0.02</v>
      </c>
      <c r="L24" s="210">
        <f>IF(AND(EXACT(H24,""),EXACT(I24,""),EXACT(J24,"")),"",IF(NOT(EXACT(J24,"")),IF(NOT(EXACT(K24,"")),K24*$J$20,""),IF(NOT(EXACT(I24,"")),IF(NOT(EXACT(K24,"")),K24*$I$20,""),IF(NOT(EXACT(H24,"")),IF(NOT(EXACT(K24,"")),K24*$H$20,"")))))</f>
      </c>
      <c r="M24" s="251" t="s">
        <v>582</v>
      </c>
      <c r="N24" s="252"/>
      <c r="O24" s="252"/>
      <c r="P24" s="49"/>
      <c r="Q24" s="48"/>
    </row>
    <row r="25" spans="1:17" ht="12">
      <c r="A25" s="168"/>
      <c r="B25" s="148"/>
      <c r="C25" s="148"/>
      <c r="D25" s="169"/>
      <c r="E25" s="148"/>
      <c r="F25" s="169"/>
      <c r="G25" s="48"/>
      <c r="H25" s="540" t="s">
        <v>296</v>
      </c>
      <c r="I25" s="540"/>
      <c r="J25" s="540"/>
      <c r="K25" s="171">
        <f>SUM(K23:K24)</f>
        <v>0.04</v>
      </c>
      <c r="L25" s="225">
        <f>IF(AND(OR(NOT(EXACT(H23,"")),NOT(EXACT(I23,"")),NOT(EXACT(J23,""))),OR(NOT(EXACT(H24,"")),NOT(EXACT(I24,"")),NOT(EXACT(J24,"")))),SUM(L23:L24),"")</f>
      </c>
      <c r="M25" s="192"/>
      <c r="N25" s="46"/>
      <c r="O25" s="46"/>
      <c r="P25" s="49"/>
      <c r="Q25" s="48"/>
    </row>
    <row r="26" spans="1:19" ht="12">
      <c r="A26" s="157" t="s">
        <v>583</v>
      </c>
      <c r="B26" s="148"/>
      <c r="C26" s="148"/>
      <c r="D26" s="169"/>
      <c r="E26" s="148"/>
      <c r="F26" s="169"/>
      <c r="G26" s="48"/>
      <c r="H26" s="253"/>
      <c r="I26" s="253"/>
      <c r="J26" s="253"/>
      <c r="K26" s="254"/>
      <c r="L26" s="255"/>
      <c r="M26" s="192"/>
      <c r="N26" s="46"/>
      <c r="O26" s="46"/>
      <c r="P26" s="49"/>
      <c r="Q26" s="48"/>
      <c r="S26" s="256"/>
    </row>
    <row r="27" spans="1:17" ht="12">
      <c r="A27" s="186" t="s">
        <v>376</v>
      </c>
      <c r="B27" s="187"/>
      <c r="C27" s="187"/>
      <c r="D27" s="187"/>
      <c r="E27" s="187"/>
      <c r="F27" s="187"/>
      <c r="G27" s="188"/>
      <c r="H27" s="587"/>
      <c r="I27" s="548"/>
      <c r="J27" s="548"/>
      <c r="K27" s="190"/>
      <c r="L27" s="191"/>
      <c r="M27" s="47"/>
      <c r="N27" s="48"/>
      <c r="O27" s="48"/>
      <c r="P27" s="49"/>
      <c r="Q27" s="48"/>
    </row>
    <row r="28" spans="1:17" ht="12">
      <c r="A28" s="193"/>
      <c r="B28" s="161"/>
      <c r="C28" s="161"/>
      <c r="D28" s="161"/>
      <c r="E28" s="161"/>
      <c r="F28" s="161"/>
      <c r="G28" s="194"/>
      <c r="H28" s="195">
        <v>0</v>
      </c>
      <c r="I28" s="196">
        <v>0.75</v>
      </c>
      <c r="J28" s="195">
        <v>1</v>
      </c>
      <c r="K28" s="197"/>
      <c r="L28" s="154"/>
      <c r="M28" s="47"/>
      <c r="N28" s="48"/>
      <c r="O28" s="48"/>
      <c r="P28" s="49"/>
      <c r="Q28" s="48"/>
    </row>
    <row r="29" spans="1:17" ht="12.75" customHeight="1">
      <c r="A29" s="198"/>
      <c r="B29" s="148"/>
      <c r="C29" s="148"/>
      <c r="D29" s="148"/>
      <c r="E29" s="148"/>
      <c r="F29" s="148"/>
      <c r="G29" s="199"/>
      <c r="H29" s="544" t="s">
        <v>299</v>
      </c>
      <c r="I29" s="544" t="s">
        <v>301</v>
      </c>
      <c r="J29" s="544" t="s">
        <v>377</v>
      </c>
      <c r="K29" s="200"/>
      <c r="L29" s="160"/>
      <c r="M29" s="47"/>
      <c r="N29" s="48"/>
      <c r="O29" s="48"/>
      <c r="P29" s="49"/>
      <c r="Q29" s="48"/>
    </row>
    <row r="30" spans="1:17" ht="31.5" customHeight="1">
      <c r="A30" s="198"/>
      <c r="B30" s="257" t="s">
        <v>378</v>
      </c>
      <c r="C30" s="148"/>
      <c r="D30" s="148"/>
      <c r="E30" s="148"/>
      <c r="F30" s="148"/>
      <c r="G30" s="199"/>
      <c r="H30" s="544"/>
      <c r="I30" s="544"/>
      <c r="J30" s="544"/>
      <c r="K30" s="162" t="s">
        <v>304</v>
      </c>
      <c r="L30" s="203" t="s">
        <v>305</v>
      </c>
      <c r="M30" s="155" t="s">
        <v>379</v>
      </c>
      <c r="N30" s="156"/>
      <c r="O30" s="156"/>
      <c r="P30" s="49"/>
      <c r="Q30" s="48"/>
    </row>
    <row r="31" spans="1:17" ht="12">
      <c r="A31" s="204"/>
      <c r="B31" s="581" t="s">
        <v>380</v>
      </c>
      <c r="C31" s="581"/>
      <c r="D31" s="582"/>
      <c r="E31" s="582"/>
      <c r="F31" s="582"/>
      <c r="G31" s="582"/>
      <c r="H31" s="260"/>
      <c r="I31" s="260"/>
      <c r="J31" s="260"/>
      <c r="K31" s="167"/>
      <c r="L31" s="261">
        <f>IF(OR(AND(EXACT(H31,""),EXACT(I31,""),EXACT(J31,"")),EXACT($H$83,"")),"",IF(NOT(EXACT(J31,"")),IF(NOT(EXACT(K31,"")),K31*$J$162,""),IF(NOT(EXACT(I31,"")),IF(NOT(EXACT(K31,"")),K31*$I$162,""),IF(NOT(EXACT(H31,"")),IF(NOT(EXACT(K31,"")),K31*$H$162,"")))))</f>
      </c>
      <c r="M31" s="238" t="s">
        <v>381</v>
      </c>
      <c r="N31" s="239"/>
      <c r="O31" s="239"/>
      <c r="P31" s="65"/>
      <c r="Q31" s="46"/>
    </row>
    <row r="32" spans="1:17" ht="12">
      <c r="A32" s="193"/>
      <c r="C32" s="556" t="s">
        <v>382</v>
      </c>
      <c r="D32" s="556"/>
      <c r="E32" s="556"/>
      <c r="F32" s="556"/>
      <c r="G32" s="556"/>
      <c r="H32" s="208"/>
      <c r="I32" s="208"/>
      <c r="J32" s="208"/>
      <c r="K32" s="209">
        <f aca="true" t="shared" si="0" ref="K32:K37">IF(AND(NOT(EXACT($H$27,"")),$H$27&gt;=1),$K$78/6/$H$27,"")</f>
      </c>
      <c r="L32" s="209">
        <f aca="true" t="shared" si="1" ref="L32:L37">IF(OR(AND(EXACT(H32,""),EXACT(I32,""),EXACT(J32,"")),EXACT($H$27,"")),"",IF(NOT(EXACT(J32,"")),IF(NOT(EXACT(K32,"")),K32*$J$28,""),IF(NOT(EXACT(I32,"")),IF(NOT(EXACT(K32,"")),K32*$I$28,""),IF(NOT(EXACT(H32,"")),IF(NOT(EXACT(K32,"")),K32*$H$28,"")))))</f>
      </c>
      <c r="M32" s="262" t="s">
        <v>383</v>
      </c>
      <c r="N32" s="262"/>
      <c r="O32" s="262"/>
      <c r="P32" s="65"/>
      <c r="Q32" s="46"/>
    </row>
    <row r="33" spans="1:17" ht="12">
      <c r="A33" s="193"/>
      <c r="C33" s="550" t="s">
        <v>384</v>
      </c>
      <c r="D33" s="550"/>
      <c r="E33" s="550"/>
      <c r="F33" s="550"/>
      <c r="G33" s="550"/>
      <c r="H33" s="208"/>
      <c r="I33" s="208"/>
      <c r="J33" s="208"/>
      <c r="K33" s="209">
        <f t="shared" si="0"/>
      </c>
      <c r="L33" s="209">
        <f t="shared" si="1"/>
      </c>
      <c r="M33" s="262" t="s">
        <v>385</v>
      </c>
      <c r="N33" s="262"/>
      <c r="O33" s="262"/>
      <c r="P33" s="65"/>
      <c r="Q33" s="46"/>
    </row>
    <row r="34" spans="1:17" ht="12">
      <c r="A34" s="193"/>
      <c r="B34" s="204"/>
      <c r="C34" s="551" t="s">
        <v>386</v>
      </c>
      <c r="D34" s="551"/>
      <c r="E34" s="551"/>
      <c r="F34" s="551"/>
      <c r="G34" s="551"/>
      <c r="H34" s="208"/>
      <c r="I34" s="208"/>
      <c r="J34" s="208"/>
      <c r="K34" s="209">
        <f t="shared" si="0"/>
      </c>
      <c r="L34" s="209">
        <f t="shared" si="1"/>
      </c>
      <c r="M34" s="262" t="s">
        <v>387</v>
      </c>
      <c r="N34" s="262"/>
      <c r="O34" s="262"/>
      <c r="P34" s="65"/>
      <c r="Q34" s="46"/>
    </row>
    <row r="35" spans="1:17" ht="12">
      <c r="A35" s="193"/>
      <c r="C35" s="552" t="s">
        <v>388</v>
      </c>
      <c r="D35" s="552"/>
      <c r="E35" s="552"/>
      <c r="F35" s="552"/>
      <c r="G35" s="552"/>
      <c r="H35" s="208"/>
      <c r="I35" s="208"/>
      <c r="J35" s="208"/>
      <c r="K35" s="209">
        <f t="shared" si="0"/>
      </c>
      <c r="L35" s="209">
        <f t="shared" si="1"/>
      </c>
      <c r="M35" s="238" t="s">
        <v>389</v>
      </c>
      <c r="N35" s="239"/>
      <c r="O35" s="239"/>
      <c r="P35" s="65"/>
      <c r="Q35" s="46"/>
    </row>
    <row r="36" spans="1:17" ht="12">
      <c r="A36" s="193"/>
      <c r="C36" s="553" t="s">
        <v>390</v>
      </c>
      <c r="D36" s="553"/>
      <c r="E36" s="553"/>
      <c r="F36" s="553"/>
      <c r="G36" s="553"/>
      <c r="H36" s="208"/>
      <c r="I36" s="208"/>
      <c r="J36" s="208"/>
      <c r="K36" s="209">
        <f t="shared" si="0"/>
      </c>
      <c r="L36" s="209">
        <f t="shared" si="1"/>
      </c>
      <c r="M36" s="238" t="s">
        <v>391</v>
      </c>
      <c r="N36" s="239"/>
      <c r="O36" s="239"/>
      <c r="P36" s="65"/>
      <c r="Q36" s="46"/>
    </row>
    <row r="37" spans="1:17" ht="12">
      <c r="A37" s="168"/>
      <c r="B37" s="193"/>
      <c r="C37" s="554" t="s">
        <v>392</v>
      </c>
      <c r="D37" s="554"/>
      <c r="E37" s="554"/>
      <c r="F37" s="554"/>
      <c r="G37" s="554"/>
      <c r="H37" s="208"/>
      <c r="I37" s="208"/>
      <c r="J37" s="208"/>
      <c r="K37" s="209">
        <f t="shared" si="0"/>
      </c>
      <c r="L37" s="209">
        <f t="shared" si="1"/>
      </c>
      <c r="M37" s="238" t="s">
        <v>393</v>
      </c>
      <c r="N37" s="239"/>
      <c r="O37" s="239"/>
      <c r="P37" s="65"/>
      <c r="Q37" s="46"/>
    </row>
    <row r="38" spans="1:17" ht="12">
      <c r="A38" s="168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239"/>
      <c r="N38" s="239"/>
      <c r="O38" s="239"/>
      <c r="P38" s="65"/>
      <c r="Q38" s="46"/>
    </row>
    <row r="39" spans="1:17" ht="13.5" customHeight="1">
      <c r="A39" s="168"/>
      <c r="B39" s="581" t="s">
        <v>394</v>
      </c>
      <c r="C39" s="581"/>
      <c r="D39" s="582"/>
      <c r="E39" s="582"/>
      <c r="F39" s="582"/>
      <c r="G39" s="582"/>
      <c r="H39" s="260"/>
      <c r="I39" s="260"/>
      <c r="J39" s="260"/>
      <c r="K39" s="167"/>
      <c r="L39" s="167">
        <f aca="true" t="shared" si="2" ref="L39:L69">IF(OR(AND(EXACT(H39,""),EXACT(I39,""),EXACT(J39,"")),EXACT($H$27,"")),"",IF(NOT(EXACT(J39,"")),IF(NOT(EXACT(K39,"")),K39*$J$28,""),IF(NOT(EXACT(I39,"")),IF(NOT(EXACT(K39,"")),K39*$I$28,""),IF(NOT(EXACT(H39,"")),IF(NOT(EXACT(K39,"")),K39*$H$28,"")))))</f>
      </c>
      <c r="P39" s="65"/>
      <c r="Q39" s="46"/>
    </row>
    <row r="40" spans="1:17" ht="13.5" customHeight="1">
      <c r="A40" s="168"/>
      <c r="B40" s="304"/>
      <c r="C40" s="586" t="s">
        <v>382</v>
      </c>
      <c r="D40" s="586"/>
      <c r="E40" s="586"/>
      <c r="F40" s="586"/>
      <c r="G40" s="586"/>
      <c r="H40" s="208"/>
      <c r="I40" s="208"/>
      <c r="J40" s="208"/>
      <c r="K40" s="209">
        <f aca="true" t="shared" si="3" ref="K40:K45">IF(AND(NOT(EXACT($H$27,"")),$H$27&gt;=2),$K$78/6/$H$27,"")</f>
      </c>
      <c r="L40" s="209">
        <f t="shared" si="2"/>
      </c>
      <c r="P40" s="263"/>
      <c r="Q40" s="264"/>
    </row>
    <row r="41" spans="1:17" ht="12">
      <c r="A41" s="168"/>
      <c r="B41" s="204"/>
      <c r="C41" s="552" t="s">
        <v>395</v>
      </c>
      <c r="D41" s="552"/>
      <c r="E41" s="552"/>
      <c r="F41" s="552"/>
      <c r="G41" s="552"/>
      <c r="H41" s="208"/>
      <c r="I41" s="208"/>
      <c r="J41" s="208"/>
      <c r="K41" s="209">
        <f t="shared" si="3"/>
      </c>
      <c r="L41" s="209">
        <f t="shared" si="2"/>
      </c>
      <c r="P41" s="65"/>
      <c r="Q41" s="46"/>
    </row>
    <row r="42" spans="1:17" ht="12">
      <c r="A42" s="168"/>
      <c r="B42" s="204"/>
      <c r="C42" s="584" t="s">
        <v>386</v>
      </c>
      <c r="D42" s="584"/>
      <c r="E42" s="584"/>
      <c r="F42" s="584"/>
      <c r="G42" s="584"/>
      <c r="H42" s="208"/>
      <c r="I42" s="208"/>
      <c r="J42" s="208"/>
      <c r="K42" s="209">
        <f t="shared" si="3"/>
      </c>
      <c r="L42" s="209">
        <f t="shared" si="2"/>
      </c>
      <c r="M42" s="155" t="s">
        <v>355</v>
      </c>
      <c r="N42" s="156"/>
      <c r="O42" s="156"/>
      <c r="P42" s="65"/>
      <c r="Q42" s="46"/>
    </row>
    <row r="43" spans="1:17" ht="12">
      <c r="A43" s="168"/>
      <c r="B43" s="204"/>
      <c r="C43" s="552" t="s">
        <v>388</v>
      </c>
      <c r="D43" s="552"/>
      <c r="E43" s="552"/>
      <c r="F43" s="552"/>
      <c r="G43" s="552"/>
      <c r="H43" s="208"/>
      <c r="I43" s="208"/>
      <c r="J43" s="208"/>
      <c r="K43" s="209">
        <f t="shared" si="3"/>
      </c>
      <c r="L43" s="209">
        <f t="shared" si="2"/>
      </c>
      <c r="M43" s="238" t="s">
        <v>584</v>
      </c>
      <c r="N43" s="239"/>
      <c r="O43" s="239"/>
      <c r="P43" s="65"/>
      <c r="Q43" s="46"/>
    </row>
    <row r="44" spans="1:17" ht="12">
      <c r="A44" s="168"/>
      <c r="B44" s="204"/>
      <c r="C44" s="584" t="s">
        <v>390</v>
      </c>
      <c r="D44" s="584"/>
      <c r="E44" s="584"/>
      <c r="F44" s="584"/>
      <c r="G44" s="584"/>
      <c r="H44" s="208"/>
      <c r="I44" s="208"/>
      <c r="J44" s="208"/>
      <c r="K44" s="209">
        <f t="shared" si="3"/>
      </c>
      <c r="L44" s="209">
        <f t="shared" si="2"/>
      </c>
      <c r="M44" s="238" t="s">
        <v>585</v>
      </c>
      <c r="N44" s="239"/>
      <c r="O44" s="239"/>
      <c r="P44" s="65"/>
      <c r="Q44" s="46"/>
    </row>
    <row r="45" spans="1:17" ht="12">
      <c r="A45" s="168"/>
      <c r="B45" s="193"/>
      <c r="C45" s="585" t="s">
        <v>392</v>
      </c>
      <c r="D45" s="585"/>
      <c r="E45" s="585"/>
      <c r="F45" s="585"/>
      <c r="G45" s="585"/>
      <c r="H45" s="208"/>
      <c r="I45" s="208"/>
      <c r="J45" s="208"/>
      <c r="K45" s="209">
        <f t="shared" si="3"/>
      </c>
      <c r="L45" s="209">
        <f t="shared" si="2"/>
      </c>
      <c r="M45" s="238" t="s">
        <v>586</v>
      </c>
      <c r="N45" s="239"/>
      <c r="O45" s="239"/>
      <c r="P45" s="65"/>
      <c r="Q45" s="46"/>
    </row>
    <row r="46" spans="1:17" ht="12">
      <c r="A46" s="168"/>
      <c r="B46" s="580"/>
      <c r="C46" s="580"/>
      <c r="D46" s="580"/>
      <c r="E46" s="580"/>
      <c r="F46" s="580"/>
      <c r="G46" s="580"/>
      <c r="H46" s="580"/>
      <c r="I46" s="580"/>
      <c r="J46" s="580"/>
      <c r="K46" s="580"/>
      <c r="L46" s="580"/>
      <c r="M46" s="239"/>
      <c r="N46" s="239"/>
      <c r="O46" s="239"/>
      <c r="P46" s="65"/>
      <c r="Q46" s="46"/>
    </row>
    <row r="47" spans="1:17" ht="13.5" customHeight="1">
      <c r="A47" s="168"/>
      <c r="B47" s="581" t="s">
        <v>587</v>
      </c>
      <c r="C47" s="581"/>
      <c r="D47" s="582"/>
      <c r="E47" s="582"/>
      <c r="F47" s="582"/>
      <c r="G47" s="582"/>
      <c r="H47" s="260"/>
      <c r="I47" s="260"/>
      <c r="J47" s="260"/>
      <c r="K47" s="167"/>
      <c r="L47" s="167">
        <f t="shared" si="2"/>
      </c>
      <c r="P47" s="65"/>
      <c r="Q47" s="46"/>
    </row>
    <row r="48" spans="1:17" ht="13.5" customHeight="1">
      <c r="A48" s="168"/>
      <c r="B48" s="304"/>
      <c r="C48" s="583" t="s">
        <v>382</v>
      </c>
      <c r="D48" s="583"/>
      <c r="E48" s="583"/>
      <c r="F48" s="583"/>
      <c r="G48" s="583"/>
      <c r="H48" s="208"/>
      <c r="I48" s="208"/>
      <c r="J48" s="208"/>
      <c r="K48" s="209">
        <f aca="true" t="shared" si="4" ref="K48:K53">IF(AND(NOT(EXACT($H$27,"")),$H$27&gt;=3),$K$78/6/$H$27,"")</f>
      </c>
      <c r="L48" s="209">
        <f t="shared" si="2"/>
      </c>
      <c r="P48" s="263"/>
      <c r="Q48" s="264"/>
    </row>
    <row r="49" spans="1:17" ht="12">
      <c r="A49" s="168"/>
      <c r="B49" s="204"/>
      <c r="C49" s="552" t="s">
        <v>395</v>
      </c>
      <c r="D49" s="552"/>
      <c r="E49" s="552"/>
      <c r="F49" s="552"/>
      <c r="G49" s="552"/>
      <c r="H49" s="208"/>
      <c r="I49" s="208"/>
      <c r="J49" s="208"/>
      <c r="K49" s="209">
        <f t="shared" si="4"/>
      </c>
      <c r="L49" s="209">
        <f t="shared" si="2"/>
      </c>
      <c r="P49" s="65"/>
      <c r="Q49" s="46"/>
    </row>
    <row r="50" spans="1:17" ht="12">
      <c r="A50" s="168"/>
      <c r="B50" s="204"/>
      <c r="C50" s="552" t="s">
        <v>386</v>
      </c>
      <c r="D50" s="552"/>
      <c r="E50" s="552"/>
      <c r="F50" s="552"/>
      <c r="G50" s="552"/>
      <c r="H50" s="208"/>
      <c r="I50" s="208"/>
      <c r="J50" s="208"/>
      <c r="K50" s="209">
        <f t="shared" si="4"/>
      </c>
      <c r="L50" s="209">
        <f t="shared" si="2"/>
      </c>
      <c r="M50" s="155"/>
      <c r="N50" s="156"/>
      <c r="O50" s="156"/>
      <c r="P50" s="65"/>
      <c r="Q50" s="46"/>
    </row>
    <row r="51" spans="1:17" ht="12">
      <c r="A51" s="168"/>
      <c r="B51" s="204"/>
      <c r="C51" s="584" t="s">
        <v>388</v>
      </c>
      <c r="D51" s="584"/>
      <c r="E51" s="584"/>
      <c r="F51" s="584"/>
      <c r="G51" s="584"/>
      <c r="H51" s="208"/>
      <c r="I51" s="208"/>
      <c r="J51" s="208"/>
      <c r="K51" s="209">
        <f t="shared" si="4"/>
      </c>
      <c r="L51" s="209">
        <f t="shared" si="2"/>
      </c>
      <c r="M51" s="238"/>
      <c r="N51" s="239"/>
      <c r="O51" s="239"/>
      <c r="P51" s="65"/>
      <c r="Q51" s="46"/>
    </row>
    <row r="52" spans="1:17" ht="12">
      <c r="A52" s="168"/>
      <c r="B52" s="204"/>
      <c r="C52" s="552" t="s">
        <v>390</v>
      </c>
      <c r="D52" s="552"/>
      <c r="E52" s="552"/>
      <c r="F52" s="552"/>
      <c r="G52" s="552"/>
      <c r="H52" s="208"/>
      <c r="I52" s="208"/>
      <c r="J52" s="208"/>
      <c r="K52" s="209">
        <f t="shared" si="4"/>
      </c>
      <c r="L52" s="209">
        <f t="shared" si="2"/>
      </c>
      <c r="M52" s="238"/>
      <c r="N52" s="239"/>
      <c r="O52" s="239"/>
      <c r="P52" s="65"/>
      <c r="Q52" s="46"/>
    </row>
    <row r="53" spans="1:17" ht="12">
      <c r="A53" s="168"/>
      <c r="B53" s="193"/>
      <c r="C53" s="579" t="s">
        <v>392</v>
      </c>
      <c r="D53" s="579"/>
      <c r="E53" s="579"/>
      <c r="F53" s="579"/>
      <c r="G53" s="579"/>
      <c r="H53" s="208"/>
      <c r="I53" s="208"/>
      <c r="J53" s="208"/>
      <c r="K53" s="209">
        <f t="shared" si="4"/>
      </c>
      <c r="L53" s="209">
        <f t="shared" si="2"/>
      </c>
      <c r="M53" s="238"/>
      <c r="N53" s="239"/>
      <c r="O53" s="239"/>
      <c r="P53" s="65"/>
      <c r="Q53" s="46"/>
    </row>
    <row r="54" spans="1:17" ht="12">
      <c r="A54" s="168"/>
      <c r="B54" s="580"/>
      <c r="C54" s="580"/>
      <c r="D54" s="580"/>
      <c r="E54" s="580"/>
      <c r="F54" s="580"/>
      <c r="G54" s="580"/>
      <c r="H54" s="580"/>
      <c r="I54" s="580"/>
      <c r="J54" s="580"/>
      <c r="K54" s="580"/>
      <c r="L54" s="580"/>
      <c r="M54" s="239"/>
      <c r="N54" s="239"/>
      <c r="O54" s="239"/>
      <c r="P54" s="65"/>
      <c r="Q54" s="46"/>
    </row>
    <row r="55" spans="1:17" ht="13.5" customHeight="1">
      <c r="A55" s="168"/>
      <c r="B55" s="581" t="s">
        <v>588</v>
      </c>
      <c r="C55" s="581"/>
      <c r="D55" s="582"/>
      <c r="E55" s="582"/>
      <c r="F55" s="582"/>
      <c r="G55" s="582"/>
      <c r="H55" s="260"/>
      <c r="I55" s="260"/>
      <c r="J55" s="260"/>
      <c r="K55" s="167"/>
      <c r="L55" s="167">
        <f aca="true" t="shared" si="5" ref="L55:L61">IF(OR(AND(EXACT(H55,""),EXACT(I55,""),EXACT(J55,"")),EXACT($H$27,"")),"",IF(NOT(EXACT(J55,"")),IF(NOT(EXACT(K55,"")),K55*$J$28,""),IF(NOT(EXACT(I55,"")),IF(NOT(EXACT(K55,"")),K55*$I$28,""),IF(NOT(EXACT(H55,"")),IF(NOT(EXACT(K55,"")),K55*$H$28,"")))))</f>
      </c>
      <c r="P55" s="65"/>
      <c r="Q55" s="46"/>
    </row>
    <row r="56" spans="1:17" ht="13.5" customHeight="1">
      <c r="A56" s="168"/>
      <c r="B56" s="304"/>
      <c r="C56" s="583" t="s">
        <v>382</v>
      </c>
      <c r="D56" s="583"/>
      <c r="E56" s="583"/>
      <c r="F56" s="583"/>
      <c r="G56" s="583"/>
      <c r="H56" s="208"/>
      <c r="I56" s="208"/>
      <c r="J56" s="208"/>
      <c r="K56" s="209">
        <f aca="true" t="shared" si="6" ref="K56:K61">IF(AND(NOT(EXACT($H$27,"")),$H$27&gt;=4),$K$78/6/$H$27,"")</f>
      </c>
      <c r="L56" s="209">
        <f t="shared" si="5"/>
      </c>
      <c r="P56" s="263"/>
      <c r="Q56" s="264"/>
    </row>
    <row r="57" spans="1:17" ht="12">
      <c r="A57" s="168"/>
      <c r="B57" s="204"/>
      <c r="C57" s="552" t="s">
        <v>395</v>
      </c>
      <c r="D57" s="552"/>
      <c r="E57" s="552"/>
      <c r="F57" s="552"/>
      <c r="G57" s="552"/>
      <c r="H57" s="208"/>
      <c r="I57" s="208"/>
      <c r="J57" s="208"/>
      <c r="K57" s="209">
        <f t="shared" si="6"/>
      </c>
      <c r="L57" s="209">
        <f t="shared" si="5"/>
      </c>
      <c r="P57" s="65"/>
      <c r="Q57" s="46"/>
    </row>
    <row r="58" spans="1:17" ht="12">
      <c r="A58" s="168"/>
      <c r="B58" s="204"/>
      <c r="C58" s="584" t="s">
        <v>386</v>
      </c>
      <c r="D58" s="584"/>
      <c r="E58" s="584"/>
      <c r="F58" s="584"/>
      <c r="G58" s="584"/>
      <c r="H58" s="208"/>
      <c r="I58" s="208"/>
      <c r="J58" s="208"/>
      <c r="K58" s="209">
        <f t="shared" si="6"/>
      </c>
      <c r="L58" s="209">
        <f t="shared" si="5"/>
      </c>
      <c r="M58" s="155"/>
      <c r="N58" s="156"/>
      <c r="O58" s="156"/>
      <c r="P58" s="65"/>
      <c r="Q58" s="46"/>
    </row>
    <row r="59" spans="1:17" ht="12">
      <c r="A59" s="168"/>
      <c r="B59" s="204"/>
      <c r="C59" s="552" t="s">
        <v>388</v>
      </c>
      <c r="D59" s="552"/>
      <c r="E59" s="552"/>
      <c r="F59" s="552"/>
      <c r="G59" s="552"/>
      <c r="H59" s="208"/>
      <c r="I59" s="208"/>
      <c r="J59" s="208"/>
      <c r="K59" s="209">
        <f t="shared" si="6"/>
      </c>
      <c r="L59" s="209">
        <f t="shared" si="5"/>
      </c>
      <c r="M59" s="238"/>
      <c r="N59" s="239"/>
      <c r="O59" s="239"/>
      <c r="P59" s="65"/>
      <c r="Q59" s="46"/>
    </row>
    <row r="60" spans="1:17" ht="12">
      <c r="A60" s="168"/>
      <c r="B60" s="204"/>
      <c r="C60" s="552" t="s">
        <v>390</v>
      </c>
      <c r="D60" s="552"/>
      <c r="E60" s="552"/>
      <c r="F60" s="552"/>
      <c r="G60" s="552"/>
      <c r="H60" s="208"/>
      <c r="I60" s="208"/>
      <c r="J60" s="208"/>
      <c r="K60" s="209">
        <f t="shared" si="6"/>
      </c>
      <c r="L60" s="209">
        <f t="shared" si="5"/>
      </c>
      <c r="M60" s="238"/>
      <c r="N60" s="239"/>
      <c r="O60" s="239"/>
      <c r="P60" s="65"/>
      <c r="Q60" s="46"/>
    </row>
    <row r="61" spans="1:17" ht="12">
      <c r="A61" s="168"/>
      <c r="B61" s="193"/>
      <c r="C61" s="579" t="s">
        <v>392</v>
      </c>
      <c r="D61" s="579"/>
      <c r="E61" s="579"/>
      <c r="F61" s="579"/>
      <c r="G61" s="579"/>
      <c r="H61" s="208"/>
      <c r="I61" s="208"/>
      <c r="J61" s="208"/>
      <c r="K61" s="209">
        <f t="shared" si="6"/>
      </c>
      <c r="L61" s="209">
        <f t="shared" si="5"/>
      </c>
      <c r="M61" s="238"/>
      <c r="N61" s="239"/>
      <c r="O61" s="239"/>
      <c r="P61" s="65"/>
      <c r="Q61" s="46"/>
    </row>
    <row r="62" spans="1:17" ht="12">
      <c r="A62" s="168"/>
      <c r="B62" s="580"/>
      <c r="C62" s="580"/>
      <c r="D62" s="580"/>
      <c r="E62" s="580"/>
      <c r="F62" s="580"/>
      <c r="G62" s="580"/>
      <c r="H62" s="580"/>
      <c r="I62" s="580"/>
      <c r="J62" s="580"/>
      <c r="K62" s="580"/>
      <c r="L62" s="580"/>
      <c r="M62" s="239"/>
      <c r="N62" s="239"/>
      <c r="O62" s="239"/>
      <c r="P62" s="65"/>
      <c r="Q62" s="46"/>
    </row>
    <row r="63" spans="1:17" ht="13.5" customHeight="1">
      <c r="A63" s="168"/>
      <c r="B63" s="581" t="s">
        <v>589</v>
      </c>
      <c r="C63" s="581"/>
      <c r="D63" s="582"/>
      <c r="E63" s="582"/>
      <c r="F63" s="582"/>
      <c r="G63" s="582"/>
      <c r="H63" s="260"/>
      <c r="I63" s="260"/>
      <c r="J63" s="260"/>
      <c r="K63" s="167"/>
      <c r="L63" s="167">
        <f t="shared" si="2"/>
      </c>
      <c r="P63" s="65"/>
      <c r="Q63" s="46"/>
    </row>
    <row r="64" spans="1:17" ht="13.5" customHeight="1">
      <c r="A64" s="168"/>
      <c r="B64" s="304"/>
      <c r="C64" s="583" t="s">
        <v>382</v>
      </c>
      <c r="D64" s="583"/>
      <c r="E64" s="583"/>
      <c r="F64" s="583"/>
      <c r="G64" s="583"/>
      <c r="H64" s="208"/>
      <c r="I64" s="208"/>
      <c r="J64" s="208"/>
      <c r="K64" s="209">
        <f aca="true" t="shared" si="7" ref="K64:K69">IF(AND(NOT(EXACT($H$27,"")),$H$27&gt;=5),$K$78/6/$H$27,"")</f>
      </c>
      <c r="L64" s="209">
        <f t="shared" si="2"/>
      </c>
      <c r="P64" s="263"/>
      <c r="Q64" s="264"/>
    </row>
    <row r="65" spans="1:17" ht="12">
      <c r="A65" s="168"/>
      <c r="B65" s="204"/>
      <c r="C65" s="552" t="s">
        <v>395</v>
      </c>
      <c r="D65" s="552"/>
      <c r="E65" s="552"/>
      <c r="F65" s="552"/>
      <c r="G65" s="552"/>
      <c r="H65" s="208"/>
      <c r="I65" s="208"/>
      <c r="J65" s="208"/>
      <c r="K65" s="209">
        <f t="shared" si="7"/>
      </c>
      <c r="L65" s="209">
        <f t="shared" si="2"/>
      </c>
      <c r="P65" s="65"/>
      <c r="Q65" s="46"/>
    </row>
    <row r="66" spans="1:17" ht="12">
      <c r="A66" s="168"/>
      <c r="B66" s="204"/>
      <c r="C66" s="584" t="s">
        <v>386</v>
      </c>
      <c r="D66" s="584"/>
      <c r="E66" s="584"/>
      <c r="F66" s="584"/>
      <c r="G66" s="584"/>
      <c r="H66" s="208"/>
      <c r="I66" s="208"/>
      <c r="J66" s="208"/>
      <c r="K66" s="209">
        <f t="shared" si="7"/>
      </c>
      <c r="L66" s="209">
        <f t="shared" si="2"/>
      </c>
      <c r="M66" s="155"/>
      <c r="N66" s="156"/>
      <c r="O66" s="156"/>
      <c r="P66" s="65"/>
      <c r="Q66" s="46"/>
    </row>
    <row r="67" spans="1:17" ht="12">
      <c r="A67" s="168"/>
      <c r="B67" s="204"/>
      <c r="C67" s="552" t="s">
        <v>388</v>
      </c>
      <c r="D67" s="552"/>
      <c r="E67" s="552"/>
      <c r="F67" s="552"/>
      <c r="G67" s="552"/>
      <c r="H67" s="208"/>
      <c r="I67" s="208"/>
      <c r="J67" s="208"/>
      <c r="K67" s="209">
        <f t="shared" si="7"/>
      </c>
      <c r="L67" s="209">
        <f t="shared" si="2"/>
      </c>
      <c r="M67" s="238"/>
      <c r="N67" s="239"/>
      <c r="O67" s="239"/>
      <c r="P67" s="65"/>
      <c r="Q67" s="46"/>
    </row>
    <row r="68" spans="1:17" ht="12">
      <c r="A68" s="168"/>
      <c r="B68" s="204"/>
      <c r="C68" s="552" t="s">
        <v>390</v>
      </c>
      <c r="D68" s="552"/>
      <c r="E68" s="552"/>
      <c r="F68" s="552"/>
      <c r="G68" s="552"/>
      <c r="H68" s="208"/>
      <c r="I68" s="208"/>
      <c r="J68" s="208"/>
      <c r="K68" s="209">
        <f t="shared" si="7"/>
      </c>
      <c r="L68" s="209">
        <f t="shared" si="2"/>
      </c>
      <c r="M68" s="238"/>
      <c r="N68" s="239"/>
      <c r="O68" s="239"/>
      <c r="P68" s="65"/>
      <c r="Q68" s="46"/>
    </row>
    <row r="69" spans="1:17" ht="12">
      <c r="A69" s="168"/>
      <c r="B69" s="193"/>
      <c r="C69" s="579" t="s">
        <v>392</v>
      </c>
      <c r="D69" s="579"/>
      <c r="E69" s="579"/>
      <c r="F69" s="579"/>
      <c r="G69" s="579"/>
      <c r="H69" s="208"/>
      <c r="I69" s="208"/>
      <c r="J69" s="208"/>
      <c r="K69" s="209">
        <f t="shared" si="7"/>
      </c>
      <c r="L69" s="209">
        <f t="shared" si="2"/>
      </c>
      <c r="M69" s="238"/>
      <c r="N69" s="239"/>
      <c r="O69" s="239"/>
      <c r="P69" s="65"/>
      <c r="Q69" s="46"/>
    </row>
    <row r="70" spans="1:17" ht="12">
      <c r="A70" s="168"/>
      <c r="B70" s="580"/>
      <c r="C70" s="580"/>
      <c r="D70" s="580"/>
      <c r="E70" s="580"/>
      <c r="F70" s="580"/>
      <c r="G70" s="580"/>
      <c r="H70" s="580"/>
      <c r="I70" s="580"/>
      <c r="J70" s="580"/>
      <c r="K70" s="580"/>
      <c r="L70" s="580"/>
      <c r="M70" s="239"/>
      <c r="N70" s="239"/>
      <c r="O70" s="239"/>
      <c r="P70" s="65"/>
      <c r="Q70" s="46"/>
    </row>
    <row r="71" spans="1:17" ht="13.5" customHeight="1">
      <c r="A71" s="168"/>
      <c r="B71" s="581" t="s">
        <v>590</v>
      </c>
      <c r="C71" s="581"/>
      <c r="D71" s="582"/>
      <c r="E71" s="582"/>
      <c r="F71" s="582"/>
      <c r="G71" s="582"/>
      <c r="H71" s="260"/>
      <c r="I71" s="260"/>
      <c r="J71" s="260"/>
      <c r="K71" s="167"/>
      <c r="L71" s="167">
        <f aca="true" t="shared" si="8" ref="L71:L77">IF(OR(AND(EXACT(H71,""),EXACT(I71,""),EXACT(J71,"")),EXACT($H$27,"")),"",IF(NOT(EXACT(J71,"")),IF(NOT(EXACT(K71,"")),K71*$J$28,""),IF(NOT(EXACT(I71,"")),IF(NOT(EXACT(K71,"")),K71*$I$28,""),IF(NOT(EXACT(H71,"")),IF(NOT(EXACT(K71,"")),K71*$H$28,"")))))</f>
      </c>
      <c r="P71" s="65"/>
      <c r="Q71" s="46"/>
    </row>
    <row r="72" spans="1:17" ht="13.5" customHeight="1">
      <c r="A72" s="168"/>
      <c r="B72" s="304"/>
      <c r="C72" s="583" t="s">
        <v>382</v>
      </c>
      <c r="D72" s="583"/>
      <c r="E72" s="583"/>
      <c r="F72" s="583"/>
      <c r="G72" s="583"/>
      <c r="H72" s="208"/>
      <c r="I72" s="208"/>
      <c r="J72" s="208"/>
      <c r="K72" s="209">
        <f aca="true" t="shared" si="9" ref="K72:K77">IF(AND(NOT(EXACT($H$27,"")),$H$27&gt;=6),$K$78/6/$H$27,"")</f>
      </c>
      <c r="L72" s="209">
        <f t="shared" si="8"/>
      </c>
      <c r="P72" s="263"/>
      <c r="Q72" s="264"/>
    </row>
    <row r="73" spans="1:17" ht="12">
      <c r="A73" s="168"/>
      <c r="B73" s="204"/>
      <c r="C73" s="552" t="s">
        <v>395</v>
      </c>
      <c r="D73" s="552"/>
      <c r="E73" s="552"/>
      <c r="F73" s="552"/>
      <c r="G73" s="552"/>
      <c r="H73" s="208"/>
      <c r="I73" s="208"/>
      <c r="J73" s="208"/>
      <c r="K73" s="209">
        <f t="shared" si="9"/>
      </c>
      <c r="L73" s="209">
        <f t="shared" si="8"/>
      </c>
      <c r="P73" s="65"/>
      <c r="Q73" s="46"/>
    </row>
    <row r="74" spans="1:17" ht="12">
      <c r="A74" s="168"/>
      <c r="B74" s="204"/>
      <c r="C74" s="584" t="s">
        <v>386</v>
      </c>
      <c r="D74" s="584"/>
      <c r="E74" s="584"/>
      <c r="F74" s="584"/>
      <c r="G74" s="584"/>
      <c r="H74" s="208"/>
      <c r="I74" s="208"/>
      <c r="J74" s="208"/>
      <c r="K74" s="209">
        <f t="shared" si="9"/>
      </c>
      <c r="L74" s="209">
        <f t="shared" si="8"/>
      </c>
      <c r="M74" s="155"/>
      <c r="N74" s="156"/>
      <c r="O74" s="156"/>
      <c r="P74" s="65"/>
      <c r="Q74" s="46"/>
    </row>
    <row r="75" spans="1:17" ht="12">
      <c r="A75" s="168"/>
      <c r="B75" s="204"/>
      <c r="C75" s="552" t="s">
        <v>388</v>
      </c>
      <c r="D75" s="552"/>
      <c r="E75" s="552"/>
      <c r="F75" s="552"/>
      <c r="G75" s="552"/>
      <c r="H75" s="208"/>
      <c r="I75" s="208"/>
      <c r="J75" s="208"/>
      <c r="K75" s="209">
        <f t="shared" si="9"/>
      </c>
      <c r="L75" s="209">
        <f t="shared" si="8"/>
      </c>
      <c r="M75" s="238"/>
      <c r="N75" s="239"/>
      <c r="O75" s="239"/>
      <c r="P75" s="65"/>
      <c r="Q75" s="46"/>
    </row>
    <row r="76" spans="1:17" ht="12">
      <c r="A76" s="168"/>
      <c r="B76" s="204"/>
      <c r="C76" s="552" t="s">
        <v>390</v>
      </c>
      <c r="D76" s="552"/>
      <c r="E76" s="552"/>
      <c r="F76" s="552"/>
      <c r="G76" s="552"/>
      <c r="H76" s="208"/>
      <c r="I76" s="208"/>
      <c r="J76" s="208"/>
      <c r="K76" s="209">
        <f t="shared" si="9"/>
      </c>
      <c r="L76" s="209">
        <f t="shared" si="8"/>
      </c>
      <c r="M76" s="238"/>
      <c r="N76" s="239"/>
      <c r="O76" s="239"/>
      <c r="P76" s="65"/>
      <c r="Q76" s="46"/>
    </row>
    <row r="77" spans="1:17" ht="12">
      <c r="A77" s="168"/>
      <c r="B77" s="193"/>
      <c r="C77" s="579" t="s">
        <v>392</v>
      </c>
      <c r="D77" s="579"/>
      <c r="E77" s="579"/>
      <c r="F77" s="579"/>
      <c r="G77" s="579"/>
      <c r="H77" s="208"/>
      <c r="I77" s="208"/>
      <c r="J77" s="208"/>
      <c r="K77" s="209">
        <f t="shared" si="9"/>
      </c>
      <c r="L77" s="209">
        <f t="shared" si="8"/>
      </c>
      <c r="M77" s="238"/>
      <c r="N77" s="239"/>
      <c r="O77" s="239"/>
      <c r="P77" s="65"/>
      <c r="Q77" s="46"/>
    </row>
    <row r="78" spans="1:17" ht="12">
      <c r="A78" s="57"/>
      <c r="B78" s="57"/>
      <c r="C78" s="148"/>
      <c r="D78" s="148"/>
      <c r="E78" s="148"/>
      <c r="F78" s="148"/>
      <c r="G78" s="65"/>
      <c r="H78" s="540" t="s">
        <v>296</v>
      </c>
      <c r="I78" s="540"/>
      <c r="J78" s="540"/>
      <c r="K78" s="265">
        <v>0.06</v>
      </c>
      <c r="L78" s="237">
        <f>IF(EXACT(H27,""),"",IF(H27=0,K78,SUM(L31:L77)))</f>
      </c>
      <c r="M78" s="192"/>
      <c r="N78" s="46"/>
      <c r="O78" s="46"/>
      <c r="P78" s="65"/>
      <c r="Q78" s="46"/>
    </row>
    <row r="79" spans="1:17" ht="12">
      <c r="A79" s="58"/>
      <c r="B79" s="58"/>
      <c r="C79" s="159"/>
      <c r="D79" s="159"/>
      <c r="E79" s="159"/>
      <c r="F79" s="159"/>
      <c r="G79" s="175"/>
      <c r="H79" s="175"/>
      <c r="I79" s="175"/>
      <c r="J79" s="175"/>
      <c r="K79" s="175"/>
      <c r="L79" s="175"/>
      <c r="M79" s="219"/>
      <c r="N79" s="175"/>
      <c r="O79" s="175"/>
      <c r="P79" s="68"/>
      <c r="Q79" s="46"/>
    </row>
    <row r="80" spans="1:17" ht="6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1:17" ht="15">
      <c r="A81" s="176" t="s">
        <v>292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 t="s">
        <v>296</v>
      </c>
      <c r="N81" s="178">
        <f>IF(AND(NOT(EXACT(L93,"")),NOT(EXACT(L101,"")),NOT(EXACT(L106,""))),(L93+L101+L106)*100,0)</f>
        <v>0</v>
      </c>
      <c r="O81" s="177" t="s">
        <v>297</v>
      </c>
      <c r="P81" s="179">
        <f>(K93+K101+K106)*100</f>
        <v>15</v>
      </c>
      <c r="Q81" s="180"/>
    </row>
    <row r="82" spans="1:17" ht="15">
      <c r="A82" s="181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3" t="s">
        <v>298</v>
      </c>
      <c r="N82" s="184"/>
      <c r="O82" s="184"/>
      <c r="P82" s="185"/>
      <c r="Q82" s="180"/>
    </row>
    <row r="83" spans="1:17" ht="12">
      <c r="A83" s="186" t="s">
        <v>308</v>
      </c>
      <c r="B83" s="187"/>
      <c r="C83" s="187"/>
      <c r="D83" s="187"/>
      <c r="E83" s="187"/>
      <c r="F83" s="187"/>
      <c r="G83" s="188"/>
      <c r="H83" s="548"/>
      <c r="I83" s="548"/>
      <c r="J83" s="548"/>
      <c r="K83" s="190"/>
      <c r="L83" s="191"/>
      <c r="M83" s="192"/>
      <c r="N83" s="46"/>
      <c r="O83" s="46"/>
      <c r="P83" s="65"/>
      <c r="Q83" s="46"/>
    </row>
    <row r="84" spans="1:17" ht="12">
      <c r="A84" s="193"/>
      <c r="B84" s="161"/>
      <c r="C84" s="161"/>
      <c r="D84" s="161"/>
      <c r="E84" s="161"/>
      <c r="F84" s="161"/>
      <c r="G84" s="194"/>
      <c r="H84" s="195">
        <v>0</v>
      </c>
      <c r="I84" s="196">
        <v>0.5</v>
      </c>
      <c r="J84" s="195">
        <v>1</v>
      </c>
      <c r="K84" s="197"/>
      <c r="L84" s="154"/>
      <c r="M84" s="192"/>
      <c r="N84" s="46"/>
      <c r="O84" s="46"/>
      <c r="P84" s="65"/>
      <c r="Q84" s="46"/>
    </row>
    <row r="85" spans="1:17" ht="21" customHeight="1">
      <c r="A85" s="198"/>
      <c r="B85" s="148"/>
      <c r="C85" s="148"/>
      <c r="D85" s="148"/>
      <c r="E85" s="148"/>
      <c r="F85" s="148"/>
      <c r="G85" s="199"/>
      <c r="H85" s="544" t="s">
        <v>591</v>
      </c>
      <c r="I85" s="544" t="s">
        <v>310</v>
      </c>
      <c r="J85" s="544" t="s">
        <v>311</v>
      </c>
      <c r="K85" s="200"/>
      <c r="L85" s="160"/>
      <c r="M85" s="201"/>
      <c r="N85" s="202"/>
      <c r="O85" s="202"/>
      <c r="P85" s="199" t="s">
        <v>77</v>
      </c>
      <c r="Q85" s="202"/>
    </row>
    <row r="86" spans="1:17" ht="13.5" customHeight="1">
      <c r="A86" s="198"/>
      <c r="B86" s="148"/>
      <c r="C86" s="148"/>
      <c r="D86" s="148"/>
      <c r="E86" s="148"/>
      <c r="F86" s="148"/>
      <c r="G86" s="199"/>
      <c r="H86" s="544"/>
      <c r="I86" s="544"/>
      <c r="J86" s="544"/>
      <c r="K86" s="162" t="s">
        <v>304</v>
      </c>
      <c r="L86" s="203" t="s">
        <v>305</v>
      </c>
      <c r="M86" s="201"/>
      <c r="N86" s="202"/>
      <c r="O86" s="202"/>
      <c r="P86" s="199"/>
      <c r="Q86" s="202"/>
    </row>
    <row r="87" spans="1:17" ht="12">
      <c r="A87" s="204"/>
      <c r="B87" s="577" t="s">
        <v>312</v>
      </c>
      <c r="C87" s="577"/>
      <c r="D87" s="546"/>
      <c r="E87" s="546"/>
      <c r="F87" s="546"/>
      <c r="G87" s="546"/>
      <c r="H87" s="207"/>
      <c r="I87" s="207"/>
      <c r="J87" s="208"/>
      <c r="K87" s="209">
        <f>IF($H$83&gt;=1,$K$93/$H$83,"")</f>
      </c>
      <c r="L87" s="210">
        <f>IF(OR(AND(EXACT(H87,""),EXACT(I87,""),EXACT(J87,"")),EXACT($H$83,"")),"",IF(NOT(EXACT(J87,"")),IF(NOT(EXACT(K87,"")),K87*J84,""),IF(NOT(EXACT(I87,"")),IF(NOT(EXACT(K87,"")),K87*I84,""),IF(NOT(EXACT(H87,"")),IF(NOT(EXACT(K87,"")),K87*H84,"")))))</f>
      </c>
      <c r="M87" s="192"/>
      <c r="N87" s="46"/>
      <c r="O87" s="46"/>
      <c r="P87" s="65"/>
      <c r="Q87" s="46"/>
    </row>
    <row r="88" spans="1:17" ht="12">
      <c r="A88" s="204"/>
      <c r="B88" s="577" t="s">
        <v>313</v>
      </c>
      <c r="C88" s="577"/>
      <c r="D88" s="547"/>
      <c r="E88" s="547"/>
      <c r="F88" s="547"/>
      <c r="G88" s="547"/>
      <c r="H88" s="207"/>
      <c r="I88" s="207"/>
      <c r="J88" s="208"/>
      <c r="K88" s="209">
        <f>IF($H$83&gt;=2,$K$93/$H$83,"")</f>
      </c>
      <c r="L88" s="210">
        <f>IF(OR(AND(EXACT(H88,""),EXACT(I88,""),EXACT(J88,"")),EXACT($H$83,"")),"",IF(NOT(EXACT(J88,"")),IF(NOT(EXACT(K88,"")),K88*J84,""),IF(NOT(EXACT(I88,"")),IF(NOT(EXACT(K88,"")),K88*I84,""),IF(NOT(EXACT(H88,"")),IF(NOT(EXACT(K88,"")),K88*H84,"")))))</f>
      </c>
      <c r="M88" s="192"/>
      <c r="N88" s="46"/>
      <c r="O88" s="46"/>
      <c r="P88" s="65"/>
      <c r="Q88" s="46"/>
    </row>
    <row r="89" spans="1:17" ht="12">
      <c r="A89" s="204"/>
      <c r="B89" s="577" t="s">
        <v>314</v>
      </c>
      <c r="C89" s="577"/>
      <c r="D89" s="547"/>
      <c r="E89" s="547"/>
      <c r="F89" s="547"/>
      <c r="G89" s="547"/>
      <c r="H89" s="207"/>
      <c r="I89" s="207"/>
      <c r="J89" s="208"/>
      <c r="K89" s="209">
        <f>IF($H$83&gt;=3,$K$93/$H$83,"")</f>
      </c>
      <c r="L89" s="210">
        <f>IF(OR(AND(EXACT(H89,""),EXACT(I89,""),EXACT(J89,"")),EXACT($H$83,"")),"",IF(NOT(EXACT(J89,"")),IF(NOT(EXACT(K89,"")),K89*J84,""),IF(NOT(EXACT(I89,"")),IF(NOT(EXACT(K89,"")),K89*I84,""),IF(NOT(EXACT(H89,"")),IF(NOT(EXACT(K89,"")),K89*H84,"")))))</f>
      </c>
      <c r="M89" s="192"/>
      <c r="N89" s="46"/>
      <c r="O89" s="46"/>
      <c r="P89" s="65"/>
      <c r="Q89" s="46"/>
    </row>
    <row r="90" spans="1:17" ht="12">
      <c r="A90" s="204"/>
      <c r="B90" s="577" t="s">
        <v>315</v>
      </c>
      <c r="C90" s="577"/>
      <c r="D90" s="547"/>
      <c r="E90" s="547"/>
      <c r="F90" s="547"/>
      <c r="G90" s="547"/>
      <c r="H90" s="207"/>
      <c r="I90" s="207"/>
      <c r="J90" s="208"/>
      <c r="K90" s="209">
        <f>IF($H$83&gt;=4,$K$93/$H$83,"")</f>
      </c>
      <c r="L90" s="210">
        <f>IF(OR(AND(EXACT(H90,""),EXACT(I90,""),EXACT(J90,"")),EXACT($H$83,"")),"",IF(NOT(EXACT(J90,"")),IF(NOT(EXACT(K90,"")),K90*J84,""),IF(NOT(EXACT(I90,"")),IF(NOT(EXACT(K90,"")),K90*I84,""),IF(NOT(EXACT(H90,"")),IF(NOT(EXACT(K90,"")),K90*H84,"")))))</f>
      </c>
      <c r="M90" s="192"/>
      <c r="N90" s="46"/>
      <c r="O90" s="46"/>
      <c r="P90" s="65"/>
      <c r="Q90" s="46"/>
    </row>
    <row r="91" spans="1:17" ht="12">
      <c r="A91" s="204"/>
      <c r="B91" s="577" t="s">
        <v>592</v>
      </c>
      <c r="C91" s="577"/>
      <c r="D91" s="547"/>
      <c r="E91" s="547"/>
      <c r="F91" s="547"/>
      <c r="G91" s="547"/>
      <c r="H91" s="207"/>
      <c r="I91" s="207"/>
      <c r="J91" s="208"/>
      <c r="K91" s="209">
        <f>IF($H$83&gt;=5,$K$93/$H$83,"")</f>
      </c>
      <c r="L91" s="210">
        <f>IF(OR(AND(EXACT(H91,""),EXACT(I91,""),EXACT(J91,"")),EXACT($H$83,"")),"",IF(NOT(EXACT(J91,"")),IF(NOT(EXACT(K91,"")),K91*J84,""),IF(NOT(EXACT(I91,"")),IF(NOT(EXACT(K91,"")),K91*I84,""),IF(NOT(EXACT(H91,"")),IF(NOT(EXACT(K91,"")),K91*H84,"")))))</f>
      </c>
      <c r="M91" s="192"/>
      <c r="N91" s="46"/>
      <c r="O91" s="46"/>
      <c r="P91" s="65"/>
      <c r="Q91" s="46"/>
    </row>
    <row r="92" spans="1:17" ht="12">
      <c r="A92" s="204"/>
      <c r="B92" s="541" t="s">
        <v>593</v>
      </c>
      <c r="C92" s="541"/>
      <c r="D92" s="542"/>
      <c r="E92" s="542"/>
      <c r="F92" s="542"/>
      <c r="G92" s="542"/>
      <c r="H92" s="207"/>
      <c r="I92" s="207"/>
      <c r="J92" s="208"/>
      <c r="K92" s="209">
        <f>IF($H$83&gt;=6,$K$93/$H$83,"")</f>
      </c>
      <c r="L92" s="210">
        <f>IF(OR(AND(EXACT(H92,""),EXACT(I92,""),EXACT(J92,"")),EXACT($H$83,"")),"",IF(NOT(EXACT(J92,"")),IF(NOT(EXACT(K92,"")),K92*J84,""),IF(NOT(EXACT(I92,"")),IF(NOT(EXACT(K92,"")),K92*I84,""),IF(NOT(EXACT(H92,"")),IF(NOT(EXACT(K92,"")),K92*H84,"")))))</f>
      </c>
      <c r="M92" s="192"/>
      <c r="N92" s="46"/>
      <c r="O92" s="46"/>
      <c r="P92" s="216"/>
      <c r="Q92" s="217"/>
    </row>
    <row r="93" spans="1:17" ht="12">
      <c r="A93" s="192"/>
      <c r="B93" s="161"/>
      <c r="C93" s="161"/>
      <c r="D93" s="161"/>
      <c r="E93" s="161"/>
      <c r="F93" s="161"/>
      <c r="G93" s="161"/>
      <c r="H93" s="540" t="s">
        <v>296</v>
      </c>
      <c r="I93" s="540"/>
      <c r="J93" s="540"/>
      <c r="K93" s="171">
        <v>0.04</v>
      </c>
      <c r="L93" s="218">
        <f>IF(EXACT(H83,""),"",IF(H83=0,K93,SUM(L87:L92)))</f>
      </c>
      <c r="M93" s="192"/>
      <c r="N93" s="46"/>
      <c r="O93" s="46"/>
      <c r="P93" s="65"/>
      <c r="Q93" s="46"/>
    </row>
    <row r="94" spans="1:17" ht="12">
      <c r="A94" s="219"/>
      <c r="B94" s="161"/>
      <c r="C94" s="161"/>
      <c r="D94" s="161"/>
      <c r="E94" s="161"/>
      <c r="F94" s="161"/>
      <c r="G94" s="161"/>
      <c r="H94" s="148"/>
      <c r="I94" s="148"/>
      <c r="J94" s="148"/>
      <c r="K94" s="220"/>
      <c r="L94" s="220"/>
      <c r="M94" s="192"/>
      <c r="N94" s="46"/>
      <c r="O94" s="46"/>
      <c r="P94" s="65"/>
      <c r="Q94" s="46"/>
    </row>
    <row r="95" spans="1:17" ht="12">
      <c r="A95" s="221"/>
      <c r="B95" s="222"/>
      <c r="C95" s="222"/>
      <c r="D95" s="222"/>
      <c r="E95" s="222"/>
      <c r="F95" s="222"/>
      <c r="G95" s="223"/>
      <c r="H95" s="151">
        <v>0</v>
      </c>
      <c r="I95" s="152">
        <v>0.75</v>
      </c>
      <c r="J95" s="152">
        <v>1</v>
      </c>
      <c r="K95" s="223"/>
      <c r="L95" s="67"/>
      <c r="M95" s="201"/>
      <c r="N95" s="202"/>
      <c r="O95" s="202"/>
      <c r="P95" s="65"/>
      <c r="Q95" s="46"/>
    </row>
    <row r="96" spans="1:17" ht="13.5" customHeight="1">
      <c r="A96" s="57"/>
      <c r="B96" s="148"/>
      <c r="C96" s="148"/>
      <c r="D96" s="153"/>
      <c r="E96" s="148"/>
      <c r="F96" s="543"/>
      <c r="G96" s="46"/>
      <c r="H96" s="544" t="s">
        <v>299</v>
      </c>
      <c r="I96" s="544" t="s">
        <v>316</v>
      </c>
      <c r="J96" s="544" t="s">
        <v>317</v>
      </c>
      <c r="K96" s="46"/>
      <c r="L96" s="46"/>
      <c r="M96" s="155" t="s">
        <v>302</v>
      </c>
      <c r="N96" s="156"/>
      <c r="O96" s="156"/>
      <c r="P96" s="65"/>
      <c r="Q96" s="46"/>
    </row>
    <row r="97" spans="1:17" ht="17.25" customHeight="1">
      <c r="A97" s="157"/>
      <c r="B97" s="148"/>
      <c r="C97" s="148"/>
      <c r="D97" s="158"/>
      <c r="E97" s="159"/>
      <c r="F97" s="543"/>
      <c r="G97" s="161"/>
      <c r="H97" s="544"/>
      <c r="I97" s="544"/>
      <c r="J97" s="544"/>
      <c r="K97" s="162" t="s">
        <v>304</v>
      </c>
      <c r="L97" s="203" t="s">
        <v>305</v>
      </c>
      <c r="M97" s="238" t="s">
        <v>578</v>
      </c>
      <c r="N97" s="239"/>
      <c r="O97" s="239"/>
      <c r="P97" s="65"/>
      <c r="Q97" s="46"/>
    </row>
    <row r="98" spans="1:17" ht="12">
      <c r="A98" s="258" t="s">
        <v>319</v>
      </c>
      <c r="B98" s="259"/>
      <c r="C98" s="259"/>
      <c r="D98" s="302"/>
      <c r="E98" s="259"/>
      <c r="F98" s="302"/>
      <c r="G98" s="303"/>
      <c r="H98" s="208"/>
      <c r="I98" s="208"/>
      <c r="J98" s="208"/>
      <c r="K98" s="224">
        <v>0.04</v>
      </c>
      <c r="L98" s="210">
        <f>IF(AND(EXACT(H98,""),EXACT(I98,""),EXACT(J98,"")),"",IF(NOT(EXACT(J98,"")),IF(NOT(EXACT(K98,"")),K98*$J$95,""),IF(NOT(EXACT(I98,"")),IF(NOT(EXACT(K98,"")),K98*$I$95,""),IF(NOT(EXACT(H98,"")),IF(NOT(EXACT(K98,"")),K98*$H$95,"")))))</f>
      </c>
      <c r="M98" s="251" t="s">
        <v>580</v>
      </c>
      <c r="N98" s="252"/>
      <c r="O98" s="252"/>
      <c r="P98" s="65"/>
      <c r="Q98" s="46"/>
    </row>
    <row r="99" spans="1:17" ht="12">
      <c r="A99" s="258" t="s">
        <v>320</v>
      </c>
      <c r="B99" s="259"/>
      <c r="C99" s="259"/>
      <c r="D99" s="302"/>
      <c r="E99" s="259"/>
      <c r="F99" s="302"/>
      <c r="G99" s="303"/>
      <c r="H99" s="208"/>
      <c r="I99" s="208"/>
      <c r="J99" s="208"/>
      <c r="K99" s="224">
        <v>0.02</v>
      </c>
      <c r="L99" s="210">
        <f>IF(AND(EXACT(H99,""),EXACT(I99,""),EXACT(J99,"")),"",IF(NOT(EXACT(J99,"")),IF(NOT(EXACT(K99,"")),K99*$J$95,""),IF(NOT(EXACT(I99,"")),IF(NOT(EXACT(K99,"")),K99*$I$95,""),IF(NOT(EXACT(H99,"")),IF(NOT(EXACT(K99,"")),K99*$H$95,"")))))</f>
      </c>
      <c r="M99" s="251" t="s">
        <v>582</v>
      </c>
      <c r="N99" s="252"/>
      <c r="O99" s="252"/>
      <c r="P99" s="49"/>
      <c r="Q99" s="48"/>
    </row>
    <row r="100" spans="1:17" ht="12">
      <c r="A100" s="258" t="s">
        <v>594</v>
      </c>
      <c r="B100" s="259"/>
      <c r="C100" s="259"/>
      <c r="D100" s="302"/>
      <c r="E100" s="259"/>
      <c r="F100" s="302"/>
      <c r="G100" s="303"/>
      <c r="H100" s="208"/>
      <c r="I100" s="208"/>
      <c r="J100" s="208"/>
      <c r="K100" s="224">
        <v>0.02</v>
      </c>
      <c r="L100" s="210">
        <f>IF(AND(EXACT(H100,""),EXACT(I100,""),EXACT(J100,"")),"",IF(NOT(EXACT(J100,"")),IF(NOT(EXACT(K100,"")),K100*$J$95,""),IF(NOT(EXACT(I100,"")),IF(NOT(EXACT(K100,"")),K100*$I$95,""),IF(NOT(EXACT(H100,"")),IF(NOT(EXACT(K100,"")),K100*$H$95,"")))))</f>
      </c>
      <c r="M100" s="251"/>
      <c r="N100" s="252"/>
      <c r="O100" s="252"/>
      <c r="P100" s="49"/>
      <c r="Q100" s="48"/>
    </row>
    <row r="101" spans="1:17" ht="12">
      <c r="A101" s="168"/>
      <c r="B101" s="148"/>
      <c r="C101" s="148"/>
      <c r="D101" s="169"/>
      <c r="E101" s="148"/>
      <c r="F101" s="169"/>
      <c r="G101" s="48"/>
      <c r="H101" s="540" t="s">
        <v>296</v>
      </c>
      <c r="I101" s="540"/>
      <c r="J101" s="540"/>
      <c r="K101" s="171">
        <f>SUM(K98:K100)</f>
        <v>0.08</v>
      </c>
      <c r="L101" s="225">
        <f>IF(AND(OR(NOT(EXACT(H98,"")),NOT(EXACT(I98,"")),NOT(EXACT(J98,""))),OR(NOT(EXACT(H99,"")),NOT(EXACT(I99,"")),NOT(EXACT(J99,"")))),SUM(L98:L100),"")</f>
      </c>
      <c r="M101" s="192"/>
      <c r="N101" s="46"/>
      <c r="O101" s="46"/>
      <c r="P101" s="49"/>
      <c r="Q101" s="48"/>
    </row>
    <row r="102" spans="1:17" ht="12">
      <c r="A102" s="57"/>
      <c r="B102" s="148"/>
      <c r="C102" s="148"/>
      <c r="D102" s="148"/>
      <c r="E102" s="148"/>
      <c r="F102" s="148"/>
      <c r="G102" s="46"/>
      <c r="H102" s="226"/>
      <c r="I102" s="226"/>
      <c r="J102" s="226"/>
      <c r="K102" s="227"/>
      <c r="L102" s="228"/>
      <c r="M102" s="46"/>
      <c r="N102" s="46"/>
      <c r="O102" s="46"/>
      <c r="P102" s="65"/>
      <c r="Q102" s="46"/>
    </row>
    <row r="103" spans="1:17" ht="12">
      <c r="A103" s="221"/>
      <c r="B103" s="222"/>
      <c r="C103" s="222"/>
      <c r="D103" s="222"/>
      <c r="E103" s="222"/>
      <c r="F103" s="222"/>
      <c r="G103" s="223"/>
      <c r="H103" s="151">
        <v>0</v>
      </c>
      <c r="I103" s="152">
        <v>0.25</v>
      </c>
      <c r="J103" s="151">
        <v>1</v>
      </c>
      <c r="K103" s="223"/>
      <c r="L103" s="67"/>
      <c r="M103" s="192"/>
      <c r="N103" s="46"/>
      <c r="O103" s="46"/>
      <c r="P103" s="65"/>
      <c r="Q103" s="46"/>
    </row>
    <row r="104" spans="1:17" ht="33.75" customHeight="1">
      <c r="A104" s="57"/>
      <c r="B104" s="148"/>
      <c r="C104" s="148"/>
      <c r="D104" s="148"/>
      <c r="E104" s="148"/>
      <c r="F104" s="148"/>
      <c r="G104" s="161"/>
      <c r="H104" s="229" t="s">
        <v>323</v>
      </c>
      <c r="I104" s="229" t="s">
        <v>324</v>
      </c>
      <c r="J104" s="229" t="s">
        <v>325</v>
      </c>
      <c r="K104" s="162" t="s">
        <v>304</v>
      </c>
      <c r="L104" s="163" t="s">
        <v>305</v>
      </c>
      <c r="M104" s="46"/>
      <c r="N104" s="46"/>
      <c r="O104" s="46"/>
      <c r="P104" s="65"/>
      <c r="Q104" s="46"/>
    </row>
    <row r="105" spans="1:17" ht="12">
      <c r="A105" s="258" t="s">
        <v>326</v>
      </c>
      <c r="B105" s="259"/>
      <c r="C105" s="259"/>
      <c r="D105" s="259"/>
      <c r="E105" s="259"/>
      <c r="F105" s="259"/>
      <c r="G105" s="306"/>
      <c r="H105" s="208"/>
      <c r="I105" s="166"/>
      <c r="J105" s="166"/>
      <c r="K105" s="167"/>
      <c r="L105" s="167"/>
      <c r="M105" s="46"/>
      <c r="N105" s="46"/>
      <c r="O105" s="46"/>
      <c r="P105" s="65"/>
      <c r="Q105" s="46"/>
    </row>
    <row r="106" spans="1:17" ht="12">
      <c r="A106" s="221"/>
      <c r="B106" s="148"/>
      <c r="C106" s="148"/>
      <c r="D106" s="148"/>
      <c r="E106" s="148"/>
      <c r="F106" s="148"/>
      <c r="G106" s="65"/>
      <c r="H106" s="540" t="s">
        <v>296</v>
      </c>
      <c r="I106" s="540"/>
      <c r="J106" s="540"/>
      <c r="K106" s="171">
        <v>0.03</v>
      </c>
      <c r="L106" s="230">
        <f>IF(AND(EXACT(H105,""),EXACT(I105,""),EXACT(J105,"")),"",IF(NOT(EXACT(J105,"")),IF(NOT(EXACT(K106,"")),K106*J103,""),IF(NOT(EXACT(I105,"")),IF(NOT(EXACT(K106,"")),K106*I103,""),IF(NOT(EXACT(H105,"")),IF(NOT(EXACT(K106,"")),K106*H103,"")))))</f>
      </c>
      <c r="M106" s="46"/>
      <c r="N106" s="46"/>
      <c r="O106" s="46"/>
      <c r="P106" s="65"/>
      <c r="Q106" s="46"/>
    </row>
    <row r="107" spans="1:16" ht="13.5" customHeight="1">
      <c r="A107" s="173"/>
      <c r="B107" s="174"/>
      <c r="C107" s="174"/>
      <c r="D107" s="174"/>
      <c r="E107" s="174"/>
      <c r="F107" s="174"/>
      <c r="G107" s="175"/>
      <c r="H107" s="175"/>
      <c r="I107" s="175"/>
      <c r="J107" s="175"/>
      <c r="K107" s="175"/>
      <c r="L107" s="175"/>
      <c r="M107" s="219"/>
      <c r="N107" s="175"/>
      <c r="O107" s="175"/>
      <c r="P107" s="68"/>
    </row>
    <row r="108" spans="1:17" ht="15">
      <c r="A108" s="176" t="s">
        <v>397</v>
      </c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 t="s">
        <v>296</v>
      </c>
      <c r="N108" s="178">
        <f>IF(AND(NOT(EXACT(L120,"")),NOT(EXACT(L127,"")),NOT(EXACT(L139,""))),(L120+L127+L139)*100,0)</f>
        <v>0</v>
      </c>
      <c r="O108" s="177" t="s">
        <v>297</v>
      </c>
      <c r="P108" s="179">
        <f>(K120+K127+K139)*100</f>
        <v>16</v>
      </c>
      <c r="Q108" s="180"/>
    </row>
    <row r="109" spans="1:17" ht="15">
      <c r="A109" s="181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3" t="s">
        <v>298</v>
      </c>
      <c r="N109" s="184"/>
      <c r="O109" s="184"/>
      <c r="P109" s="185"/>
      <c r="Q109" s="180"/>
    </row>
    <row r="110" spans="1:17" ht="12">
      <c r="A110" s="186" t="s">
        <v>398</v>
      </c>
      <c r="B110" s="187"/>
      <c r="C110" s="187"/>
      <c r="D110" s="187"/>
      <c r="E110" s="187"/>
      <c r="F110" s="187"/>
      <c r="G110" s="188"/>
      <c r="H110" s="548"/>
      <c r="I110" s="548"/>
      <c r="J110" s="548"/>
      <c r="K110" s="190"/>
      <c r="L110" s="191"/>
      <c r="M110" s="192"/>
      <c r="N110" s="46"/>
      <c r="O110" s="46"/>
      <c r="P110" s="65"/>
      <c r="Q110" s="46"/>
    </row>
    <row r="111" spans="1:17" ht="12">
      <c r="A111" s="193"/>
      <c r="B111" s="161"/>
      <c r="C111" s="161"/>
      <c r="D111" s="161"/>
      <c r="E111" s="161"/>
      <c r="F111" s="161"/>
      <c r="G111" s="194"/>
      <c r="H111" s="195">
        <v>0</v>
      </c>
      <c r="I111" s="196">
        <v>0.5</v>
      </c>
      <c r="J111" s="195">
        <v>1</v>
      </c>
      <c r="K111" s="197"/>
      <c r="L111" s="154"/>
      <c r="M111" s="155" t="s">
        <v>355</v>
      </c>
      <c r="N111" s="156"/>
      <c r="O111" s="156"/>
      <c r="P111" s="65"/>
      <c r="Q111" s="46"/>
    </row>
    <row r="112" spans="1:17" ht="21" customHeight="1">
      <c r="A112" s="198"/>
      <c r="B112" s="148"/>
      <c r="C112" s="148"/>
      <c r="D112" s="148"/>
      <c r="E112" s="148"/>
      <c r="F112" s="148"/>
      <c r="G112" s="199"/>
      <c r="H112" s="544" t="s">
        <v>591</v>
      </c>
      <c r="I112" s="544" t="s">
        <v>595</v>
      </c>
      <c r="J112" s="544" t="s">
        <v>400</v>
      </c>
      <c r="K112" s="200"/>
      <c r="L112" s="160"/>
      <c r="M112" s="273" t="s">
        <v>402</v>
      </c>
      <c r="N112" s="274"/>
      <c r="O112" s="274"/>
      <c r="P112" s="199"/>
      <c r="Q112" s="202"/>
    </row>
    <row r="113" spans="1:17" ht="13.5" customHeight="1">
      <c r="A113" s="198"/>
      <c r="B113" s="148"/>
      <c r="C113" s="148"/>
      <c r="D113" s="148"/>
      <c r="E113" s="148"/>
      <c r="F113" s="148"/>
      <c r="G113" s="199"/>
      <c r="H113" s="544"/>
      <c r="I113" s="544"/>
      <c r="J113" s="544"/>
      <c r="K113" s="162" t="s">
        <v>304</v>
      </c>
      <c r="L113" s="203" t="s">
        <v>305</v>
      </c>
      <c r="M113" s="238" t="s">
        <v>403</v>
      </c>
      <c r="N113" s="239"/>
      <c r="O113" s="239"/>
      <c r="P113" s="199"/>
      <c r="Q113" s="202"/>
    </row>
    <row r="114" spans="1:17" ht="12">
      <c r="A114" s="204"/>
      <c r="B114" s="205" t="s">
        <v>404</v>
      </c>
      <c r="C114" s="206"/>
      <c r="D114" s="546"/>
      <c r="E114" s="546"/>
      <c r="F114" s="546"/>
      <c r="G114" s="546"/>
      <c r="H114" s="207"/>
      <c r="I114" s="207"/>
      <c r="J114" s="208"/>
      <c r="K114" s="209">
        <f>IF($H$110&gt;=1,$K$120/$H$110,"")</f>
      </c>
      <c r="L114" s="210">
        <f aca="true" t="shared" si="10" ref="L114:L119">IF(OR(AND(EXACT(H114,""),EXACT(I114,""),EXACT(J114,"")),EXACT($H$110,"")),"",IF(NOT(EXACT(J114,"")),IF(NOT(EXACT(K114,"")),K114*$J$111,""),IF(NOT(EXACT(I114,"")),IF(NOT(EXACT(K114,"")),K114*$I$111,""),IF(NOT(EXACT(H114,"")),IF(NOT(EXACT(K114,"")),K114*$H$111,"")))))</f>
      </c>
      <c r="M114" s="238" t="s">
        <v>405</v>
      </c>
      <c r="N114" s="239"/>
      <c r="O114" s="239"/>
      <c r="P114" s="65"/>
      <c r="Q114" s="46"/>
    </row>
    <row r="115" spans="1:17" ht="12">
      <c r="A115" s="204"/>
      <c r="B115" s="205" t="s">
        <v>406</v>
      </c>
      <c r="C115" s="212"/>
      <c r="D115" s="547"/>
      <c r="E115" s="547"/>
      <c r="F115" s="547"/>
      <c r="G115" s="547"/>
      <c r="H115" s="207"/>
      <c r="I115" s="207"/>
      <c r="J115" s="208"/>
      <c r="K115" s="209">
        <f>IF($H$110&gt;=2,$K$120/$H$110,"")</f>
      </c>
      <c r="L115" s="210">
        <f t="shared" si="10"/>
      </c>
      <c r="M115" s="238" t="s">
        <v>407</v>
      </c>
      <c r="N115" s="239"/>
      <c r="O115" s="239"/>
      <c r="P115" s="65"/>
      <c r="Q115" s="46"/>
    </row>
    <row r="116" spans="1:17" ht="12">
      <c r="A116" s="204"/>
      <c r="B116" s="205" t="s">
        <v>408</v>
      </c>
      <c r="C116" s="212"/>
      <c r="D116" s="547"/>
      <c r="E116" s="547"/>
      <c r="F116" s="547"/>
      <c r="G116" s="547"/>
      <c r="H116" s="207"/>
      <c r="I116" s="207"/>
      <c r="J116" s="208"/>
      <c r="K116" s="209">
        <f>IF($H$110&gt;=3,$K$120/$H$110,"")</f>
      </c>
      <c r="L116" s="210">
        <f t="shared" si="10"/>
      </c>
      <c r="M116" s="238" t="s">
        <v>409</v>
      </c>
      <c r="N116" s="239"/>
      <c r="O116" s="239"/>
      <c r="P116" s="65"/>
      <c r="Q116" s="46"/>
    </row>
    <row r="117" spans="1:17" ht="12">
      <c r="A117" s="204"/>
      <c r="B117" s="205" t="s">
        <v>410</v>
      </c>
      <c r="C117" s="212"/>
      <c r="D117" s="547"/>
      <c r="E117" s="547"/>
      <c r="F117" s="547"/>
      <c r="G117" s="547"/>
      <c r="H117" s="207"/>
      <c r="I117" s="207"/>
      <c r="J117" s="208"/>
      <c r="K117" s="209">
        <f>IF($H$110&gt;=4,$K$120/$H$110,"")</f>
      </c>
      <c r="L117" s="210">
        <f t="shared" si="10"/>
      </c>
      <c r="M117" s="192"/>
      <c r="N117" s="46"/>
      <c r="O117" s="46"/>
      <c r="P117" s="65"/>
      <c r="Q117" s="46"/>
    </row>
    <row r="118" spans="1:17" ht="12">
      <c r="A118" s="204"/>
      <c r="B118" s="305" t="s">
        <v>411</v>
      </c>
      <c r="C118" s="212"/>
      <c r="D118" s="547"/>
      <c r="E118" s="547"/>
      <c r="F118" s="547"/>
      <c r="G118" s="547"/>
      <c r="H118" s="207"/>
      <c r="I118" s="207"/>
      <c r="J118" s="208"/>
      <c r="K118" s="209">
        <f>IF($H$110&gt;=5,$K$120/$H$110,"")</f>
      </c>
      <c r="L118" s="210">
        <f t="shared" si="10"/>
      </c>
      <c r="M118" s="192"/>
      <c r="N118" s="46"/>
      <c r="O118" s="46"/>
      <c r="P118" s="65"/>
      <c r="Q118" s="46"/>
    </row>
    <row r="119" spans="1:17" ht="12">
      <c r="A119" s="204"/>
      <c r="B119" s="214" t="s">
        <v>412</v>
      </c>
      <c r="C119" s="215"/>
      <c r="D119" s="578"/>
      <c r="E119" s="578"/>
      <c r="F119" s="578"/>
      <c r="G119" s="578"/>
      <c r="H119" s="207"/>
      <c r="I119" s="207"/>
      <c r="J119" s="208"/>
      <c r="K119" s="209">
        <f>IF($H$110&gt;=6,$K$120/$H$110,"")</f>
      </c>
      <c r="L119" s="210">
        <f t="shared" si="10"/>
      </c>
      <c r="M119" s="192"/>
      <c r="N119" s="46"/>
      <c r="O119" s="46"/>
      <c r="P119" s="65"/>
      <c r="Q119" s="46"/>
    </row>
    <row r="120" spans="1:17" ht="12">
      <c r="A120" s="192"/>
      <c r="B120" s="161"/>
      <c r="C120" s="161"/>
      <c r="D120" s="161"/>
      <c r="E120" s="161"/>
      <c r="F120" s="161"/>
      <c r="G120" s="161"/>
      <c r="H120" s="540" t="s">
        <v>296</v>
      </c>
      <c r="I120" s="540"/>
      <c r="J120" s="540"/>
      <c r="K120" s="171">
        <v>0.06</v>
      </c>
      <c r="L120" s="218">
        <f>IF(EXACT(H110,""),"",IF(H110=0,K120,SUM(L114:L119)))</f>
      </c>
      <c r="M120" s="192"/>
      <c r="N120" s="46"/>
      <c r="O120" s="46"/>
      <c r="P120" s="65"/>
      <c r="Q120" s="46"/>
    </row>
    <row r="121" spans="1:17" ht="13.5" customHeight="1">
      <c r="A121" s="275"/>
      <c r="B121" s="66"/>
      <c r="C121" s="66"/>
      <c r="D121" s="66"/>
      <c r="E121" s="66"/>
      <c r="F121" s="66"/>
      <c r="M121" s="192"/>
      <c r="N121" s="46"/>
      <c r="O121" s="46"/>
      <c r="P121" s="65"/>
      <c r="Q121" s="46"/>
    </row>
    <row r="122" spans="1:17" ht="12">
      <c r="A122" s="221"/>
      <c r="B122" s="222"/>
      <c r="C122" s="222"/>
      <c r="D122" s="222"/>
      <c r="E122" s="222"/>
      <c r="F122" s="222"/>
      <c r="G122" s="223"/>
      <c r="H122" s="151">
        <v>0</v>
      </c>
      <c r="I122" s="152">
        <v>0.75</v>
      </c>
      <c r="J122" s="152">
        <v>1</v>
      </c>
      <c r="K122" s="223"/>
      <c r="L122" s="67"/>
      <c r="M122" s="201"/>
      <c r="N122" s="202"/>
      <c r="O122" s="202"/>
      <c r="P122" s="65"/>
      <c r="Q122" s="46"/>
    </row>
    <row r="123" spans="1:17" ht="13.5" customHeight="1">
      <c r="A123" s="57"/>
      <c r="B123" s="148"/>
      <c r="C123" s="148"/>
      <c r="D123" s="153"/>
      <c r="E123" s="148"/>
      <c r="F123" s="543"/>
      <c r="G123" s="46"/>
      <c r="H123" s="544" t="s">
        <v>299</v>
      </c>
      <c r="I123" s="544" t="s">
        <v>300</v>
      </c>
      <c r="J123" s="544" t="s">
        <v>301</v>
      </c>
      <c r="K123" s="46"/>
      <c r="L123" s="46"/>
      <c r="M123" s="155"/>
      <c r="N123" s="156"/>
      <c r="O123" s="156"/>
      <c r="P123" s="65"/>
      <c r="Q123" s="46"/>
    </row>
    <row r="124" spans="1:17" ht="12">
      <c r="A124" s="157" t="s">
        <v>413</v>
      </c>
      <c r="B124" s="148"/>
      <c r="C124" s="148"/>
      <c r="D124" s="158"/>
      <c r="E124" s="159"/>
      <c r="F124" s="543"/>
      <c r="G124" s="161"/>
      <c r="H124" s="544"/>
      <c r="I124" s="544"/>
      <c r="J124" s="544"/>
      <c r="K124" s="162" t="s">
        <v>304</v>
      </c>
      <c r="L124" s="203" t="s">
        <v>305</v>
      </c>
      <c r="M124" s="238"/>
      <c r="N124" s="239"/>
      <c r="O124" s="239"/>
      <c r="P124" s="65"/>
      <c r="Q124" s="46"/>
    </row>
    <row r="125" spans="1:17" ht="12">
      <c r="A125" s="258" t="s">
        <v>414</v>
      </c>
      <c r="B125" s="259"/>
      <c r="C125" s="259"/>
      <c r="D125" s="302"/>
      <c r="E125" s="259"/>
      <c r="F125" s="302"/>
      <c r="G125" s="303"/>
      <c r="H125" s="208"/>
      <c r="I125" s="208"/>
      <c r="J125" s="208"/>
      <c r="K125" s="224">
        <v>0.03</v>
      </c>
      <c r="L125" s="210">
        <f>IF(AND(EXACT(H125,""),EXACT(I125,""),EXACT(J125,"")),"",IF(NOT(EXACT(J125,"")),IF(NOT(EXACT(K125,"")),K125*$J$122,""),IF(NOT(EXACT(I125,"")),IF(NOT(EXACT(K125,"")),K125*$I$122,""),IF(NOT(EXACT(H125,"")),IF(NOT(EXACT(K125,"")),K125*$H$122,"")))))</f>
      </c>
      <c r="M125" s="251"/>
      <c r="N125" s="252"/>
      <c r="O125" s="252"/>
      <c r="P125" s="65"/>
      <c r="Q125" s="46"/>
    </row>
    <row r="126" spans="1:17" ht="12">
      <c r="A126" s="258" t="s">
        <v>415</v>
      </c>
      <c r="B126" s="259"/>
      <c r="C126" s="259"/>
      <c r="D126" s="302"/>
      <c r="E126" s="259"/>
      <c r="F126" s="302"/>
      <c r="G126" s="303"/>
      <c r="H126" s="208"/>
      <c r="I126" s="208"/>
      <c r="J126" s="208"/>
      <c r="K126" s="224">
        <v>0.01</v>
      </c>
      <c r="L126" s="210">
        <f>IF(AND(EXACT(H126,""),EXACT(I126,""),EXACT(J126,"")),"",IF(NOT(EXACT(J126,"")),IF(NOT(EXACT(K126,"")),K126*$J$122,""),IF(NOT(EXACT(I126,"")),IF(NOT(EXACT(K126,"")),K126*$I$122,""),IF(NOT(EXACT(H126,"")),IF(NOT(EXACT(K126,"")),K126*$H$122,"")))))</f>
      </c>
      <c r="M126" s="251"/>
      <c r="N126" s="252"/>
      <c r="O126" s="252"/>
      <c r="P126" s="49"/>
      <c r="Q126" s="48"/>
    </row>
    <row r="127" spans="1:17" ht="12">
      <c r="A127" s="168"/>
      <c r="B127" s="148"/>
      <c r="C127" s="148"/>
      <c r="D127" s="169"/>
      <c r="E127" s="148"/>
      <c r="F127" s="169"/>
      <c r="G127" s="48"/>
      <c r="H127" s="540" t="s">
        <v>296</v>
      </c>
      <c r="I127" s="540"/>
      <c r="J127" s="540"/>
      <c r="K127" s="171">
        <f>SUM(K125:K126)</f>
        <v>0.04</v>
      </c>
      <c r="L127" s="225">
        <f>IF(AND(OR(NOT(EXACT(H125,"")),NOT(EXACT(I125,"")),NOT(EXACT(J125,""))),OR(NOT(EXACT(H126,"")),NOT(EXACT(I126,"")),NOT(EXACT(J126,"")))),SUM(L125:L126),"")</f>
      </c>
      <c r="M127" s="192"/>
      <c r="N127" s="46"/>
      <c r="O127" s="46"/>
      <c r="P127" s="49"/>
      <c r="Q127" s="48"/>
    </row>
    <row r="128" spans="1:17" ht="13.5" customHeight="1">
      <c r="A128" s="238" t="s">
        <v>416</v>
      </c>
      <c r="B128" s="66"/>
      <c r="C128" s="66"/>
      <c r="D128" s="66"/>
      <c r="E128" s="66"/>
      <c r="F128" s="66"/>
      <c r="M128" s="192"/>
      <c r="N128" s="46"/>
      <c r="O128" s="46"/>
      <c r="P128" s="65"/>
      <c r="Q128" s="46"/>
    </row>
    <row r="129" spans="1:17" ht="12">
      <c r="A129" s="186" t="s">
        <v>417</v>
      </c>
      <c r="B129" s="187"/>
      <c r="C129" s="187"/>
      <c r="D129" s="187"/>
      <c r="E129" s="187"/>
      <c r="F129" s="187"/>
      <c r="G129" s="188"/>
      <c r="H129" s="548"/>
      <c r="I129" s="548"/>
      <c r="J129" s="548"/>
      <c r="K129" s="190"/>
      <c r="L129" s="191"/>
      <c r="M129" s="192"/>
      <c r="N129" s="46"/>
      <c r="O129" s="46"/>
      <c r="P129" s="65"/>
      <c r="Q129" s="46"/>
    </row>
    <row r="130" spans="1:17" ht="12">
      <c r="A130" s="193"/>
      <c r="B130" s="161"/>
      <c r="C130" s="161"/>
      <c r="D130" s="161"/>
      <c r="E130" s="161"/>
      <c r="F130" s="161"/>
      <c r="G130" s="194"/>
      <c r="H130" s="195">
        <v>0</v>
      </c>
      <c r="I130" s="196">
        <v>0.75</v>
      </c>
      <c r="J130" s="195">
        <v>1</v>
      </c>
      <c r="K130" s="197"/>
      <c r="L130" s="154"/>
      <c r="M130" s="155" t="s">
        <v>355</v>
      </c>
      <c r="N130" s="156"/>
      <c r="O130" s="156"/>
      <c r="P130" s="65"/>
      <c r="Q130" s="46"/>
    </row>
    <row r="131" spans="1:17" ht="21" customHeight="1">
      <c r="A131" s="198"/>
      <c r="B131" s="148"/>
      <c r="C131" s="148"/>
      <c r="D131" s="148"/>
      <c r="E131" s="148"/>
      <c r="F131" s="148"/>
      <c r="G131" s="199"/>
      <c r="H131" s="544" t="s">
        <v>418</v>
      </c>
      <c r="I131" s="544" t="s">
        <v>419</v>
      </c>
      <c r="J131" s="544" t="s">
        <v>420</v>
      </c>
      <c r="K131" s="200"/>
      <c r="L131" s="160"/>
      <c r="M131" s="273" t="s">
        <v>402</v>
      </c>
      <c r="N131" s="274"/>
      <c r="O131" s="274"/>
      <c r="P131" s="199"/>
      <c r="Q131" s="202"/>
    </row>
    <row r="132" spans="1:17" ht="13.5" customHeight="1">
      <c r="A132" s="198"/>
      <c r="B132" s="148"/>
      <c r="C132" s="148"/>
      <c r="D132" s="148"/>
      <c r="E132" s="148"/>
      <c r="F132" s="148"/>
      <c r="G132" s="199"/>
      <c r="H132" s="544"/>
      <c r="I132" s="544"/>
      <c r="J132" s="544"/>
      <c r="K132" s="162" t="s">
        <v>304</v>
      </c>
      <c r="L132" s="203" t="s">
        <v>305</v>
      </c>
      <c r="M132" s="238" t="s">
        <v>403</v>
      </c>
      <c r="N132" s="239"/>
      <c r="O132" s="239"/>
      <c r="P132" s="199"/>
      <c r="Q132" s="202"/>
    </row>
    <row r="133" spans="1:17" ht="12">
      <c r="A133" s="204"/>
      <c r="B133" s="577" t="s">
        <v>596</v>
      </c>
      <c r="C133" s="577"/>
      <c r="D133" s="546"/>
      <c r="E133" s="546"/>
      <c r="F133" s="546"/>
      <c r="G133" s="546"/>
      <c r="H133" s="207"/>
      <c r="I133" s="207"/>
      <c r="J133" s="208"/>
      <c r="K133" s="209">
        <f>IF($H$129&gt;=1,$K$139/$H$129,"")</f>
      </c>
      <c r="L133" s="210">
        <f aca="true" t="shared" si="11" ref="L133:L138">IF(OR(AND(EXACT(H133,""),EXACT(I133,""),EXACT(J133,"")),EXACT($H$129,"")),"",IF(NOT(EXACT(J133,"")),IF(NOT(EXACT(K133,"")),K133*$J$130,""),IF(NOT(EXACT(I133,"")),IF(NOT(EXACT(K133,"")),K133*$I$130,""),IF(NOT(EXACT(H133,"")),IF(NOT(EXACT(K133,"")),K133*$H$130,"")))))</f>
      </c>
      <c r="M133" s="238" t="s">
        <v>405</v>
      </c>
      <c r="N133" s="239"/>
      <c r="O133" s="239"/>
      <c r="P133" s="65"/>
      <c r="Q133" s="46"/>
    </row>
    <row r="134" spans="1:17" ht="12">
      <c r="A134" s="204"/>
      <c r="B134" s="575" t="s">
        <v>597</v>
      </c>
      <c r="C134" s="575"/>
      <c r="D134" s="547"/>
      <c r="E134" s="547"/>
      <c r="F134" s="547"/>
      <c r="G134" s="547"/>
      <c r="H134" s="207"/>
      <c r="I134" s="207"/>
      <c r="J134" s="208"/>
      <c r="K134" s="209">
        <f>IF($H$129&gt;=2,$K$139/$H$129,"")</f>
      </c>
      <c r="L134" s="210">
        <f t="shared" si="11"/>
      </c>
      <c r="M134" s="238" t="s">
        <v>407</v>
      </c>
      <c r="N134" s="239"/>
      <c r="O134" s="239"/>
      <c r="P134" s="65"/>
      <c r="Q134" s="46"/>
    </row>
    <row r="135" spans="1:17" ht="12">
      <c r="A135" s="204"/>
      <c r="B135" s="575" t="s">
        <v>598</v>
      </c>
      <c r="C135" s="575"/>
      <c r="D135" s="547"/>
      <c r="E135" s="547"/>
      <c r="F135" s="547"/>
      <c r="G135" s="547"/>
      <c r="H135" s="207"/>
      <c r="I135" s="207"/>
      <c r="J135" s="208"/>
      <c r="K135" s="209">
        <f>IF($H$129&gt;=3,$K$139/$H$129,"")</f>
      </c>
      <c r="L135" s="210">
        <f t="shared" si="11"/>
      </c>
      <c r="M135" s="238" t="s">
        <v>409</v>
      </c>
      <c r="N135" s="239"/>
      <c r="O135" s="239"/>
      <c r="P135" s="65"/>
      <c r="Q135" s="46"/>
    </row>
    <row r="136" spans="1:17" ht="12">
      <c r="A136" s="204"/>
      <c r="B136" s="575" t="s">
        <v>599</v>
      </c>
      <c r="C136" s="575"/>
      <c r="D136" s="547"/>
      <c r="E136" s="547"/>
      <c r="F136" s="547"/>
      <c r="G136" s="547"/>
      <c r="H136" s="207"/>
      <c r="I136" s="207"/>
      <c r="J136" s="208"/>
      <c r="K136" s="209">
        <f>IF($H$129&gt;=4,$K$139/$H$129,"")</f>
      </c>
      <c r="L136" s="210">
        <f t="shared" si="11"/>
      </c>
      <c r="M136" s="192"/>
      <c r="N136" s="46"/>
      <c r="O136" s="46"/>
      <c r="P136" s="65"/>
      <c r="Q136" s="46"/>
    </row>
    <row r="137" spans="1:17" ht="12">
      <c r="A137" s="204"/>
      <c r="B137" s="575" t="s">
        <v>600</v>
      </c>
      <c r="C137" s="575"/>
      <c r="D137" s="547"/>
      <c r="E137" s="547"/>
      <c r="F137" s="547"/>
      <c r="G137" s="547"/>
      <c r="H137" s="207"/>
      <c r="I137" s="207"/>
      <c r="J137" s="208"/>
      <c r="K137" s="209">
        <f>IF($H$129&gt;=5,$K$139/$H$129,"")</f>
      </c>
      <c r="L137" s="210">
        <f t="shared" si="11"/>
      </c>
      <c r="M137" s="192"/>
      <c r="N137" s="46"/>
      <c r="O137" s="46"/>
      <c r="P137" s="65"/>
      <c r="Q137" s="46"/>
    </row>
    <row r="138" spans="1:17" ht="12">
      <c r="A138" s="204"/>
      <c r="B138" s="541" t="s">
        <v>601</v>
      </c>
      <c r="C138" s="541"/>
      <c r="D138" s="576"/>
      <c r="E138" s="576"/>
      <c r="F138" s="576"/>
      <c r="G138" s="576"/>
      <c r="H138" s="207"/>
      <c r="I138" s="207"/>
      <c r="J138" s="208"/>
      <c r="K138" s="209">
        <f>IF($H$129&gt;=6,$K$139/$H$129,"")</f>
      </c>
      <c r="L138" s="210">
        <f t="shared" si="11"/>
      </c>
      <c r="M138" s="192"/>
      <c r="N138" s="46"/>
      <c r="O138" s="46"/>
      <c r="P138" s="65"/>
      <c r="Q138" s="46"/>
    </row>
    <row r="139" spans="1:17" ht="12">
      <c r="A139" s="192"/>
      <c r="B139" s="161"/>
      <c r="C139" s="161"/>
      <c r="D139" s="161"/>
      <c r="E139" s="161"/>
      <c r="F139" s="161"/>
      <c r="G139" s="161"/>
      <c r="H139" s="540" t="s">
        <v>296</v>
      </c>
      <c r="I139" s="540"/>
      <c r="J139" s="540"/>
      <c r="K139" s="171">
        <v>0.06</v>
      </c>
      <c r="L139" s="218">
        <f>IF(EXACT(H129,""),"",IF(H129=0,K139,SUM(L133:L138)))</f>
      </c>
      <c r="M139" s="192"/>
      <c r="N139" s="46"/>
      <c r="O139" s="46"/>
      <c r="P139" s="65"/>
      <c r="Q139" s="46"/>
    </row>
    <row r="140" spans="1:17" ht="12">
      <c r="A140" s="219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219"/>
      <c r="N140" s="175"/>
      <c r="O140" s="175"/>
      <c r="P140" s="68"/>
      <c r="Q140" s="46"/>
    </row>
    <row r="141" spans="1:17" ht="1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</row>
    <row r="142" spans="1:17" ht="15">
      <c r="A142" s="176" t="s">
        <v>427</v>
      </c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 t="s">
        <v>296</v>
      </c>
      <c r="N142" s="178">
        <f>IF(AND(NOT(EXACT(H146,"")),NOT(EXACT(H147,""))),P142,IF(AND(NOT(EXACT(L152,"")),NOT(EXACT(L157,""))),(L152+L157)*100,IF(AND(EXACT(L152,""),NOT(EXACT(L157,""))),L157*100,IF(AND(NOT(EXACT(L152,"")),EXACT(L157,"")),L152*100,0))))</f>
        <v>0</v>
      </c>
      <c r="O142" s="177" t="s">
        <v>297</v>
      </c>
      <c r="P142" s="179">
        <v>12</v>
      </c>
      <c r="Q142" s="180"/>
    </row>
    <row r="143" spans="1:17" ht="15">
      <c r="A143" s="181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3" t="s">
        <v>298</v>
      </c>
      <c r="N143" s="184"/>
      <c r="O143" s="184"/>
      <c r="P143" s="185"/>
      <c r="Q143" s="180"/>
    </row>
    <row r="144" spans="1:17" ht="12.75" customHeight="1">
      <c r="A144" s="57"/>
      <c r="B144" s="148"/>
      <c r="C144" s="148"/>
      <c r="D144" s="153"/>
      <c r="E144" s="148"/>
      <c r="F144" s="543"/>
      <c r="G144" s="46"/>
      <c r="H144" s="544" t="s">
        <v>299</v>
      </c>
      <c r="I144" s="544" t="s">
        <v>301</v>
      </c>
      <c r="J144" s="544"/>
      <c r="K144" s="276"/>
      <c r="L144" s="277"/>
      <c r="M144" s="46"/>
      <c r="N144" s="46"/>
      <c r="O144" s="46"/>
      <c r="P144" s="65"/>
      <c r="Q144" s="46"/>
    </row>
    <row r="145" spans="1:17" ht="12">
      <c r="A145" s="157" t="s">
        <v>428</v>
      </c>
      <c r="B145" s="148"/>
      <c r="C145" s="148"/>
      <c r="D145" s="158"/>
      <c r="E145" s="159"/>
      <c r="F145" s="543"/>
      <c r="G145" s="161"/>
      <c r="H145" s="544"/>
      <c r="I145" s="544"/>
      <c r="J145" s="544"/>
      <c r="K145" s="162"/>
      <c r="L145" s="163"/>
      <c r="M145" s="46"/>
      <c r="N145" s="46"/>
      <c r="O145" s="46"/>
      <c r="P145" s="65"/>
      <c r="Q145" s="46"/>
    </row>
    <row r="146" spans="1:17" ht="12">
      <c r="A146" s="258" t="s">
        <v>429</v>
      </c>
      <c r="B146" s="259"/>
      <c r="C146" s="259"/>
      <c r="D146" s="302"/>
      <c r="E146" s="259"/>
      <c r="F146" s="302"/>
      <c r="G146" s="303"/>
      <c r="H146" s="208"/>
      <c r="I146" s="208"/>
      <c r="J146" s="170"/>
      <c r="K146" s="224"/>
      <c r="L146" s="224"/>
      <c r="M146" s="46"/>
      <c r="N146" s="46"/>
      <c r="O146" s="46"/>
      <c r="P146" s="65"/>
      <c r="Q146" s="46"/>
    </row>
    <row r="147" spans="1:17" ht="12">
      <c r="A147" s="258" t="s">
        <v>430</v>
      </c>
      <c r="B147" s="259"/>
      <c r="C147" s="259"/>
      <c r="D147" s="302"/>
      <c r="E147" s="259"/>
      <c r="F147" s="302"/>
      <c r="G147" s="303"/>
      <c r="H147" s="208"/>
      <c r="I147" s="208"/>
      <c r="J147" s="170"/>
      <c r="K147" s="224"/>
      <c r="L147" s="224"/>
      <c r="M147" s="46"/>
      <c r="N147" s="46"/>
      <c r="O147" s="46"/>
      <c r="P147" s="65"/>
      <c r="Q147" s="46"/>
    </row>
    <row r="148" spans="1:17" ht="12">
      <c r="A148" s="192"/>
      <c r="B148" s="161"/>
      <c r="C148" s="161"/>
      <c r="D148" s="161"/>
      <c r="E148" s="161"/>
      <c r="F148" s="161"/>
      <c r="G148" s="161"/>
      <c r="H148" s="253"/>
      <c r="I148" s="253"/>
      <c r="J148" s="253"/>
      <c r="K148" s="278"/>
      <c r="L148" s="279"/>
      <c r="M148" s="46"/>
      <c r="N148" s="46"/>
      <c r="O148" s="46"/>
      <c r="P148" s="65"/>
      <c r="Q148" s="46"/>
    </row>
    <row r="149" spans="1:17" ht="12">
      <c r="A149" s="221"/>
      <c r="B149" s="222"/>
      <c r="C149" s="222"/>
      <c r="D149" s="222"/>
      <c r="E149" s="222"/>
      <c r="F149" s="222"/>
      <c r="G149" s="223"/>
      <c r="H149" s="151">
        <v>0</v>
      </c>
      <c r="I149" s="152">
        <v>0.25</v>
      </c>
      <c r="J149" s="151">
        <v>1</v>
      </c>
      <c r="K149" s="223"/>
      <c r="L149" s="67"/>
      <c r="M149" s="46"/>
      <c r="N149" s="46"/>
      <c r="O149" s="46"/>
      <c r="P149" s="65"/>
      <c r="Q149" s="46"/>
    </row>
    <row r="150" spans="1:17" ht="39.75" customHeight="1">
      <c r="A150" s="157" t="s">
        <v>431</v>
      </c>
      <c r="B150" s="148"/>
      <c r="C150" s="148"/>
      <c r="D150" s="148"/>
      <c r="E150" s="148"/>
      <c r="F150" s="148"/>
      <c r="G150" s="161"/>
      <c r="H150" s="229" t="s">
        <v>432</v>
      </c>
      <c r="I150" s="229" t="s">
        <v>433</v>
      </c>
      <c r="J150" s="229" t="s">
        <v>434</v>
      </c>
      <c r="K150" s="162" t="s">
        <v>304</v>
      </c>
      <c r="L150" s="163" t="s">
        <v>305</v>
      </c>
      <c r="M150" s="46"/>
      <c r="N150" s="46"/>
      <c r="O150" s="46"/>
      <c r="P150" s="65"/>
      <c r="Q150" s="46"/>
    </row>
    <row r="151" spans="1:17" ht="12">
      <c r="A151" s="258" t="s">
        <v>435</v>
      </c>
      <c r="B151" s="259"/>
      <c r="C151" s="259"/>
      <c r="D151" s="259"/>
      <c r="E151" s="259"/>
      <c r="F151" s="259"/>
      <c r="G151" s="306"/>
      <c r="H151" s="208"/>
      <c r="I151" s="166"/>
      <c r="J151" s="166"/>
      <c r="K151" s="167"/>
      <c r="L151" s="167"/>
      <c r="M151" s="46"/>
      <c r="N151" s="46"/>
      <c r="O151" s="46"/>
      <c r="P151" s="65"/>
      <c r="Q151" s="46"/>
    </row>
    <row r="152" spans="1:17" ht="12">
      <c r="A152" s="221"/>
      <c r="B152" s="222"/>
      <c r="C152" s="222"/>
      <c r="D152" s="222"/>
      <c r="E152" s="222"/>
      <c r="F152" s="222"/>
      <c r="G152" s="67"/>
      <c r="H152" s="540" t="s">
        <v>296</v>
      </c>
      <c r="I152" s="540"/>
      <c r="J152" s="540"/>
      <c r="K152" s="280" t="str">
        <f>IF(AND(NOT(EXACT(I146,"")),NOT(EXACT(I147,""))),P142/2/100,IF(AND(NOT(EXACT(I146,"")),EXACT(H146,"")),P142/100,"6~12%"))</f>
        <v>6~12%</v>
      </c>
      <c r="L152" s="230">
        <f>IF(AND(EXACT(H151,""),EXACT(I151,""),EXACT(J151,"")),"",IF(NOT(EXACT(J151,"")),IF(NOT(EXACT(K152,"")),K152*J149,""),IF(NOT(EXACT(I151,"")),IF(NOT(EXACT(K152,"")),K152*I149,""),IF(NOT(EXACT(H151,"")),IF(NOT(EXACT(K152,"")),K152*H149,"")))))</f>
      </c>
      <c r="M152" s="46"/>
      <c r="N152" s="46"/>
      <c r="O152" s="46"/>
      <c r="P152" s="65"/>
      <c r="Q152" s="46"/>
    </row>
    <row r="153" spans="1:17" ht="12">
      <c r="A153" s="168"/>
      <c r="B153" s="148"/>
      <c r="C153" s="148"/>
      <c r="D153" s="169"/>
      <c r="E153" s="148"/>
      <c r="F153" s="169"/>
      <c r="G153" s="48"/>
      <c r="H153" s="226"/>
      <c r="I153" s="226"/>
      <c r="J153" s="226"/>
      <c r="K153" s="281"/>
      <c r="L153" s="282"/>
      <c r="M153" s="46"/>
      <c r="N153" s="46"/>
      <c r="O153" s="46"/>
      <c r="P153" s="65"/>
      <c r="Q153" s="46"/>
    </row>
    <row r="154" spans="1:17" ht="13.5" customHeight="1">
      <c r="A154" s="221"/>
      <c r="B154" s="222"/>
      <c r="C154" s="222"/>
      <c r="D154" s="222"/>
      <c r="E154" s="222"/>
      <c r="F154" s="222"/>
      <c r="G154" s="223"/>
      <c r="H154" s="151">
        <v>0</v>
      </c>
      <c r="I154" s="152">
        <v>0.25</v>
      </c>
      <c r="J154" s="151">
        <v>1</v>
      </c>
      <c r="K154" s="223"/>
      <c r="L154" s="67"/>
      <c r="P154" s="65"/>
      <c r="Q154" s="46"/>
    </row>
    <row r="155" spans="1:17" ht="40.5" customHeight="1">
      <c r="A155" s="157" t="s">
        <v>436</v>
      </c>
      <c r="B155" s="148"/>
      <c r="C155" s="148"/>
      <c r="D155" s="148"/>
      <c r="E155" s="148"/>
      <c r="F155" s="148"/>
      <c r="G155" s="161"/>
      <c r="H155" s="229" t="s">
        <v>432</v>
      </c>
      <c r="I155" s="229" t="s">
        <v>433</v>
      </c>
      <c r="J155" s="229" t="s">
        <v>434</v>
      </c>
      <c r="K155" s="162" t="s">
        <v>304</v>
      </c>
      <c r="L155" s="163" t="s">
        <v>305</v>
      </c>
      <c r="P155" s="65"/>
      <c r="Q155" s="46"/>
    </row>
    <row r="156" spans="1:17" ht="13.5" customHeight="1">
      <c r="A156" s="258" t="s">
        <v>435</v>
      </c>
      <c r="B156" s="259"/>
      <c r="C156" s="259"/>
      <c r="D156" s="259"/>
      <c r="E156" s="259"/>
      <c r="F156" s="259"/>
      <c r="G156" s="306"/>
      <c r="H156" s="208"/>
      <c r="I156" s="166"/>
      <c r="J156" s="166"/>
      <c r="K156" s="167"/>
      <c r="L156" s="167"/>
      <c r="P156" s="65"/>
      <c r="Q156" s="46"/>
    </row>
    <row r="157" spans="1:17" ht="13.5" customHeight="1">
      <c r="A157" s="221"/>
      <c r="B157" s="222"/>
      <c r="C157" s="222"/>
      <c r="D157" s="222"/>
      <c r="E157" s="222"/>
      <c r="F157" s="222"/>
      <c r="G157" s="67"/>
      <c r="H157" s="540" t="s">
        <v>296</v>
      </c>
      <c r="I157" s="540"/>
      <c r="J157" s="540"/>
      <c r="K157" s="280" t="str">
        <f>IF(AND(NOT(EXACT(I146,"")),NOT(EXACT(I147,""))),P142/2/100,IF(AND(NOT(EXACT(I147,"")),EXACT(H147,"")),P142/100,"6~12%"))</f>
        <v>6~12%</v>
      </c>
      <c r="L157" s="230">
        <f>IF(AND(EXACT(H156,""),EXACT(I156,""),EXACT(J156,"")),"",IF(NOT(EXACT(J156,"")),IF(NOT(EXACT(K157,"")),K157*J154,""),IF(NOT(EXACT(I156,"")),IF(NOT(EXACT(K157,"")),K157*I154,""),IF(NOT(EXACT(H156,"")),IF(NOT(EXACT(K157,"")),K157*H154,"")))))</f>
      </c>
      <c r="P157" s="65"/>
      <c r="Q157" s="46"/>
    </row>
    <row r="158" spans="1:17" ht="13.5" customHeight="1">
      <c r="A158" s="214"/>
      <c r="B158" s="159"/>
      <c r="C158" s="159"/>
      <c r="D158" s="283"/>
      <c r="E158" s="159"/>
      <c r="F158" s="283"/>
      <c r="G158" s="284"/>
      <c r="H158" s="285"/>
      <c r="I158" s="285"/>
      <c r="J158" s="285"/>
      <c r="K158" s="286"/>
      <c r="L158" s="287"/>
      <c r="M158" s="175"/>
      <c r="N158" s="175"/>
      <c r="O158" s="175"/>
      <c r="P158" s="68"/>
      <c r="Q158" s="46"/>
    </row>
    <row r="159" spans="1:6" ht="6.75" customHeight="1">
      <c r="A159" s="66"/>
      <c r="B159" s="66"/>
      <c r="C159" s="66"/>
      <c r="D159" s="66"/>
      <c r="E159" s="66"/>
      <c r="F159" s="66"/>
    </row>
    <row r="160" spans="1:17" ht="15.75" customHeight="1">
      <c r="A160" s="54" t="s">
        <v>293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177" t="s">
        <v>296</v>
      </c>
      <c r="N160" s="145">
        <f>IF(AND(NOT(EXACT(L170,"")),NOT(EXACT(L175,""))),(L170+L175)*100,IF(AND(EXACT(L170,""),NOT(EXACT(L175,""))),L175*100,IF(AND(NOT(EXACT(L170,"")),EXACT(L175,"")),L170*100,0)))</f>
        <v>0</v>
      </c>
      <c r="O160" s="55" t="s">
        <v>297</v>
      </c>
      <c r="P160" s="146">
        <f>(K170+K175)*100</f>
        <v>8</v>
      </c>
      <c r="Q160" s="180"/>
    </row>
    <row r="161" spans="1:17" ht="13.5" customHeight="1">
      <c r="A161" s="57"/>
      <c r="B161" s="148"/>
      <c r="C161" s="148"/>
      <c r="D161" s="148"/>
      <c r="E161" s="148"/>
      <c r="F161" s="148"/>
      <c r="G161" s="46"/>
      <c r="H161" s="46"/>
      <c r="I161" s="46"/>
      <c r="J161" s="46"/>
      <c r="K161" s="46"/>
      <c r="L161" s="46"/>
      <c r="M161" s="183" t="s">
        <v>298</v>
      </c>
      <c r="N161" s="150"/>
      <c r="O161" s="150"/>
      <c r="P161" s="65"/>
      <c r="Q161" s="46"/>
    </row>
    <row r="162" spans="1:17" ht="13.5" customHeight="1">
      <c r="A162" s="221"/>
      <c r="B162" s="222"/>
      <c r="C162" s="222"/>
      <c r="D162" s="222"/>
      <c r="E162" s="222"/>
      <c r="F162" s="222"/>
      <c r="G162" s="223"/>
      <c r="H162" s="151">
        <v>0</v>
      </c>
      <c r="I162" s="152">
        <v>0.5</v>
      </c>
      <c r="J162" s="151">
        <v>1</v>
      </c>
      <c r="K162" s="223"/>
      <c r="L162" s="67"/>
      <c r="M162" s="201"/>
      <c r="N162" s="202"/>
      <c r="O162" s="202"/>
      <c r="P162" s="199" t="s">
        <v>329</v>
      </c>
      <c r="Q162" s="202"/>
    </row>
    <row r="163" spans="1:17" ht="13.5" customHeight="1">
      <c r="A163" s="57"/>
      <c r="B163" s="148"/>
      <c r="C163" s="148"/>
      <c r="D163" s="231" t="s">
        <v>330</v>
      </c>
      <c r="E163" s="148"/>
      <c r="F163" s="559" t="s">
        <v>331</v>
      </c>
      <c r="G163" s="46"/>
      <c r="H163" s="544" t="s">
        <v>332</v>
      </c>
      <c r="I163" s="544" t="s">
        <v>324</v>
      </c>
      <c r="J163" s="544" t="s">
        <v>333</v>
      </c>
      <c r="K163" s="46"/>
      <c r="L163" s="46"/>
      <c r="M163" s="201"/>
      <c r="N163" s="202"/>
      <c r="O163" s="202"/>
      <c r="P163" s="199"/>
      <c r="Q163" s="202"/>
    </row>
    <row r="164" spans="1:17" ht="13.5" customHeight="1">
      <c r="A164" s="57"/>
      <c r="B164" s="148"/>
      <c r="C164" s="148"/>
      <c r="D164" s="232" t="s">
        <v>334</v>
      </c>
      <c r="E164" s="148"/>
      <c r="F164" s="559"/>
      <c r="G164" s="161"/>
      <c r="H164" s="544"/>
      <c r="I164" s="544"/>
      <c r="J164" s="544"/>
      <c r="K164" s="162" t="s">
        <v>304</v>
      </c>
      <c r="L164" s="203" t="s">
        <v>305</v>
      </c>
      <c r="M164" s="192"/>
      <c r="N164" s="46"/>
      <c r="O164" s="46"/>
      <c r="P164" s="65"/>
      <c r="Q164" s="46"/>
    </row>
    <row r="165" spans="1:17" ht="13.5" customHeight="1">
      <c r="A165" s="258" t="s">
        <v>335</v>
      </c>
      <c r="B165" s="259"/>
      <c r="C165" s="259"/>
      <c r="D165" s="189">
        <v>0</v>
      </c>
      <c r="E165" s="233"/>
      <c r="F165" s="234" t="s">
        <v>336</v>
      </c>
      <c r="G165" s="235"/>
      <c r="H165" s="236" t="str">
        <f>IF(EXACT($D165,"0"),"x","")</f>
        <v>x</v>
      </c>
      <c r="I165" s="236">
        <f>IF(AND(NOT(EXACT(D165,"")),D165&lt;20,D165&lt;&gt;0),"x","")</f>
      </c>
      <c r="J165" s="236">
        <f>IF(AND(NOT(EXACT(D165,"")),D165&lt;20),"","x")</f>
      </c>
      <c r="K165" s="224">
        <f>$K$170/5</f>
        <v>0.01</v>
      </c>
      <c r="L165" s="237">
        <f>IF(AND(EXACT(H165,""),EXACT(I165,""),EXACT(J165,"")),"",IF(NOT(EXACT(J165,"")),IF(NOT(EXACT(K165,"")),K165*$J$162,""),IF(NOT(EXACT(I165,"")),IF(NOT(EXACT(K165,"")),K165*$I$162,""),IF(NOT(EXACT(H165,"")),IF(NOT(EXACT(K165,"")),K165*$H$162,"")))))</f>
        <v>0</v>
      </c>
      <c r="M165" s="192"/>
      <c r="N165" s="46"/>
      <c r="O165" s="46"/>
      <c r="P165" s="65"/>
      <c r="Q165" s="46"/>
    </row>
    <row r="166" spans="1:17" ht="13.5" customHeight="1">
      <c r="A166" s="258" t="s">
        <v>337</v>
      </c>
      <c r="B166" s="259"/>
      <c r="C166" s="259"/>
      <c r="D166" s="189">
        <v>0</v>
      </c>
      <c r="E166" s="233"/>
      <c r="F166" s="234" t="s">
        <v>338</v>
      </c>
      <c r="G166" s="235"/>
      <c r="H166" s="236" t="str">
        <f>IF(EXACT($D166,"0"),"x","")</f>
        <v>x</v>
      </c>
      <c r="I166" s="236">
        <f>IF(AND(NOT(EXACT(D166,"")),OR(D166&lt;10,D166&gt;35),D166&lt;&gt;0),"x","")</f>
      </c>
      <c r="J166" s="236">
        <f>IF(AND(NOT(EXACT(D166,"")),OR(D166&lt;10,D166&gt;35)),"","x")</f>
      </c>
      <c r="K166" s="224">
        <f>$K$170/5</f>
        <v>0.01</v>
      </c>
      <c r="L166" s="237">
        <f>IF(AND(EXACT(H166,""),EXACT(I166,""),EXACT(J166,"")),"",IF(NOT(EXACT(J166,"")),IF(NOT(EXACT(K166,"")),K166*$J$162,""),IF(NOT(EXACT(I166,"")),IF(NOT(EXACT(K166,"")),K166*$I$162,""),IF(NOT(EXACT(H166,"")),IF(NOT(EXACT(K166,"")),K166*$H$162,"")))))</f>
        <v>0</v>
      </c>
      <c r="M166" s="192"/>
      <c r="N166" s="46"/>
      <c r="O166" s="46"/>
      <c r="P166" s="307"/>
      <c r="Q166" s="250"/>
    </row>
    <row r="167" spans="1:17" ht="13.5" customHeight="1">
      <c r="A167" s="258" t="s">
        <v>339</v>
      </c>
      <c r="B167" s="259"/>
      <c r="C167" s="259"/>
      <c r="D167" s="189">
        <v>0</v>
      </c>
      <c r="E167" s="233"/>
      <c r="F167" s="234" t="s">
        <v>340</v>
      </c>
      <c r="G167" s="235"/>
      <c r="H167" s="236" t="str">
        <f>IF(EXACT($D167,"0"),"x","")</f>
        <v>x</v>
      </c>
      <c r="I167" s="236">
        <f>IF(AND(NOT(EXACT(D167,"")),OR(D167&lt;10,D167&gt;40),D167&lt;&gt;0),"x","")</f>
      </c>
      <c r="J167" s="236">
        <f>IF(AND(NOT(EXACT(D167,"")),OR(D167&lt;10,D167&gt;40)),"","x")</f>
      </c>
      <c r="K167" s="224">
        <f>$K$170/5</f>
        <v>0.01</v>
      </c>
      <c r="L167" s="237">
        <f>IF(AND(EXACT(H167,""),EXACT(I167,""),EXACT(J167,"")),"",IF(NOT(EXACT(J167,"")),IF(NOT(EXACT(K167,"")),K167*$J$162,""),IF(NOT(EXACT(I167,"")),IF(NOT(EXACT(K167,"")),K167*$I$162,""),IF(NOT(EXACT(H167,"")),IF(NOT(EXACT(K167,"")),K167*$H$162,"")))))</f>
        <v>0</v>
      </c>
      <c r="M167" s="192"/>
      <c r="N167" s="46"/>
      <c r="O167" s="46"/>
      <c r="P167" s="65"/>
      <c r="Q167" s="46"/>
    </row>
    <row r="168" spans="1:17" ht="13.5" customHeight="1">
      <c r="A168" s="258" t="s">
        <v>341</v>
      </c>
      <c r="B168" s="259"/>
      <c r="C168" s="259"/>
      <c r="D168" s="189">
        <v>0</v>
      </c>
      <c r="E168" s="233"/>
      <c r="F168" s="234" t="s">
        <v>342</v>
      </c>
      <c r="G168" s="235"/>
      <c r="H168" s="236" t="str">
        <f>IF(EXACT($D168,"0"),"x","")</f>
        <v>x</v>
      </c>
      <c r="I168" s="236">
        <f>IF(AND(NOT(EXACT(D168,"")),OR(D168&lt;2,D168&gt;6),D168&lt;&gt;0),"x","")</f>
      </c>
      <c r="J168" s="236">
        <f>IF(AND(NOT(EXACT(D168,"")),OR(D168&lt;2,D168&gt;6)),"","x")</f>
      </c>
      <c r="K168" s="224">
        <f>$K$170/5</f>
        <v>0.01</v>
      </c>
      <c r="L168" s="237">
        <f>IF(AND(EXACT(H168,""),EXACT(I168,""),EXACT(J168,"")),"",IF(NOT(EXACT(J168,"")),IF(NOT(EXACT(K168,"")),K168*$J$162,""),IF(NOT(EXACT(I168,"")),IF(NOT(EXACT(K168,"")),K168*$I$162,""),IF(NOT(EXACT(H168,"")),IF(NOT(EXACT(K168,"")),K168*$H$162,"")))))</f>
        <v>0</v>
      </c>
      <c r="M168" s="192"/>
      <c r="N168" s="46"/>
      <c r="O168" s="46"/>
      <c r="P168" s="65"/>
      <c r="Q168" s="46"/>
    </row>
    <row r="169" spans="1:17" ht="13.5" customHeight="1">
      <c r="A169" s="258" t="s">
        <v>343</v>
      </c>
      <c r="B169" s="259"/>
      <c r="C169" s="259"/>
      <c r="D169" s="189">
        <v>0</v>
      </c>
      <c r="E169" s="233"/>
      <c r="F169" s="234" t="s">
        <v>344</v>
      </c>
      <c r="G169" s="235"/>
      <c r="H169" s="236" t="str">
        <f>IF(EXACT($D169,"0"),"x","")</f>
        <v>x</v>
      </c>
      <c r="I169" s="236">
        <f>IF(AND(NOT(EXACT(D169,"")),D169&lt;=40,D169&lt;&gt;0),"x","")</f>
      </c>
      <c r="J169" s="236">
        <f>IF(AND(NOT(EXACT(D169,"")),D169&lt;=40),"","x")</f>
      </c>
      <c r="K169" s="224">
        <f>$K$170/5</f>
        <v>0.01</v>
      </c>
      <c r="L169" s="237">
        <f>IF(AND(EXACT(H169,""),EXACT(I169,""),EXACT(J169,"")),"",IF(NOT(EXACT(J169,"")),IF(NOT(EXACT(K169,"")),K169*$J$162,""),IF(NOT(EXACT(I169,"")),IF(NOT(EXACT(K169,"")),K169*$I$162,""),IF(NOT(EXACT(H169,"")),IF(NOT(EXACT(K169,"")),K169*$H$162,"")))))</f>
        <v>0</v>
      </c>
      <c r="M169" s="192"/>
      <c r="N169" s="46"/>
      <c r="O169" s="46"/>
      <c r="P169" s="65"/>
      <c r="Q169" s="46"/>
    </row>
    <row r="170" spans="1:17" ht="13.5" customHeight="1">
      <c r="A170" s="57"/>
      <c r="B170" s="148"/>
      <c r="C170" s="148"/>
      <c r="D170" s="148"/>
      <c r="E170" s="148"/>
      <c r="F170" s="148"/>
      <c r="G170" s="65"/>
      <c r="H170" s="540" t="s">
        <v>296</v>
      </c>
      <c r="I170" s="540"/>
      <c r="J170" s="540"/>
      <c r="K170" s="171">
        <v>0.05</v>
      </c>
      <c r="L170" s="225">
        <f>SUM(L165:L169)</f>
        <v>0</v>
      </c>
      <c r="M170" s="192"/>
      <c r="N170" s="46"/>
      <c r="O170" s="46"/>
      <c r="P170" s="65"/>
      <c r="Q170" s="46"/>
    </row>
    <row r="171" spans="1:17" ht="13.5" customHeight="1">
      <c r="A171" s="192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192"/>
      <c r="N171" s="46"/>
      <c r="O171" s="46"/>
      <c r="P171" s="65"/>
      <c r="Q171" s="46"/>
    </row>
    <row r="172" spans="1:17" ht="12">
      <c r="A172" s="221"/>
      <c r="B172" s="222"/>
      <c r="C172" s="222"/>
      <c r="D172" s="222"/>
      <c r="E172" s="222"/>
      <c r="F172" s="222"/>
      <c r="G172" s="223"/>
      <c r="H172" s="151">
        <v>0</v>
      </c>
      <c r="I172" s="152">
        <v>0.5</v>
      </c>
      <c r="J172" s="151">
        <v>1</v>
      </c>
      <c r="K172" s="223"/>
      <c r="L172" s="67"/>
      <c r="M172" s="192"/>
      <c r="N172" s="46"/>
      <c r="O172" s="46"/>
      <c r="P172" s="65"/>
      <c r="Q172" s="46"/>
    </row>
    <row r="173" spans="1:17" ht="33.75" customHeight="1">
      <c r="A173" s="57"/>
      <c r="B173" s="148"/>
      <c r="C173" s="148"/>
      <c r="D173" s="148"/>
      <c r="E173" s="148"/>
      <c r="F173" s="148"/>
      <c r="G173" s="161"/>
      <c r="H173" s="229" t="s">
        <v>591</v>
      </c>
      <c r="I173" s="229" t="s">
        <v>348</v>
      </c>
      <c r="J173" s="229" t="s">
        <v>349</v>
      </c>
      <c r="K173" s="162" t="s">
        <v>304</v>
      </c>
      <c r="L173" s="163" t="s">
        <v>305</v>
      </c>
      <c r="M173" s="46"/>
      <c r="N173" s="46"/>
      <c r="O173" s="46"/>
      <c r="P173" s="65"/>
      <c r="Q173" s="46"/>
    </row>
    <row r="174" spans="1:17" ht="12">
      <c r="A174" s="258" t="s">
        <v>350</v>
      </c>
      <c r="B174" s="259"/>
      <c r="C174" s="259"/>
      <c r="D174" s="259"/>
      <c r="E174" s="259"/>
      <c r="F174" s="259"/>
      <c r="G174" s="306"/>
      <c r="H174" s="208"/>
      <c r="I174" s="166"/>
      <c r="J174" s="166"/>
      <c r="K174" s="167"/>
      <c r="L174" s="167"/>
      <c r="M174" s="46"/>
      <c r="N174" s="46"/>
      <c r="O174" s="46"/>
      <c r="P174" s="65"/>
      <c r="Q174" s="46"/>
    </row>
    <row r="175" spans="1:17" ht="12">
      <c r="A175" s="57"/>
      <c r="B175" s="148"/>
      <c r="C175" s="148"/>
      <c r="D175" s="148"/>
      <c r="E175" s="148"/>
      <c r="F175" s="148"/>
      <c r="G175" s="65"/>
      <c r="H175" s="540" t="s">
        <v>296</v>
      </c>
      <c r="I175" s="540"/>
      <c r="J175" s="540"/>
      <c r="K175" s="171">
        <v>0.03</v>
      </c>
      <c r="L175" s="230">
        <f>IF(AND(EXACT(H174,""),EXACT(I174,""),EXACT(J174,"")),"",IF(NOT(EXACT(J174,"")),IF(NOT(EXACT(K175,"")),K175*J172,""),IF(NOT(EXACT(I174,"")),IF(NOT(EXACT(K175,"")),K175*I172,""),IF(NOT(EXACT(H174,"")),IF(NOT(EXACT(K175,"")),K175*H172,"")))))</f>
      </c>
      <c r="M175" s="46"/>
      <c r="N175" s="46"/>
      <c r="O175" s="46"/>
      <c r="P175" s="65"/>
      <c r="Q175" s="46"/>
    </row>
    <row r="176" spans="1:17" ht="12">
      <c r="A176" s="219"/>
      <c r="B176" s="240"/>
      <c r="C176" s="240"/>
      <c r="D176" s="240"/>
      <c r="E176" s="240"/>
      <c r="F176" s="240"/>
      <c r="G176" s="240"/>
      <c r="H176" s="159"/>
      <c r="I176" s="159"/>
      <c r="J176" s="159"/>
      <c r="K176" s="241"/>
      <c r="L176" s="241"/>
      <c r="M176" s="219"/>
      <c r="N176" s="175"/>
      <c r="O176" s="175"/>
      <c r="P176" s="68"/>
      <c r="Q176" s="46"/>
    </row>
    <row r="177" spans="1:6" ht="13.5" customHeight="1">
      <c r="A177" s="66"/>
      <c r="B177" s="66"/>
      <c r="C177" s="66"/>
      <c r="D177" s="66"/>
      <c r="E177" s="66"/>
      <c r="F177" s="66"/>
    </row>
    <row r="178" spans="1:6" ht="13.5" customHeight="1">
      <c r="A178" s="66"/>
      <c r="B178" s="66"/>
      <c r="C178" s="66"/>
      <c r="D178" s="66"/>
      <c r="E178" s="66"/>
      <c r="F178" s="66"/>
    </row>
    <row r="179" spans="1:17" ht="15">
      <c r="A179" s="54" t="s">
        <v>294</v>
      </c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 t="s">
        <v>296</v>
      </c>
      <c r="N179" s="145">
        <f>IF(AND(NOT(EXACT(L186,"")),NOT(EXACT(L191,"")),NOT(EXACT(L196,""))),(L186+L191+L196)*100,0)</f>
        <v>0</v>
      </c>
      <c r="O179" s="55" t="s">
        <v>297</v>
      </c>
      <c r="P179" s="146">
        <f>(K186+K191+K196)*100</f>
        <v>20</v>
      </c>
      <c r="Q179" s="180"/>
    </row>
    <row r="180" spans="1:17" ht="13.5" customHeight="1">
      <c r="A180" s="57"/>
      <c r="B180" s="148"/>
      <c r="C180" s="148"/>
      <c r="D180" s="148"/>
      <c r="E180" s="148"/>
      <c r="F180" s="148"/>
      <c r="G180" s="46"/>
      <c r="H180" s="46"/>
      <c r="I180" s="46"/>
      <c r="J180" s="46"/>
      <c r="K180" s="46"/>
      <c r="L180" s="46"/>
      <c r="M180" s="149" t="s">
        <v>298</v>
      </c>
      <c r="N180" s="150"/>
      <c r="O180" s="150"/>
      <c r="P180" s="65"/>
      <c r="Q180" s="46"/>
    </row>
    <row r="181" spans="1:17" ht="12">
      <c r="A181" s="221"/>
      <c r="B181" s="222"/>
      <c r="C181" s="222"/>
      <c r="D181" s="222"/>
      <c r="E181" s="222"/>
      <c r="F181" s="222"/>
      <c r="G181" s="223"/>
      <c r="H181" s="151">
        <v>0</v>
      </c>
      <c r="I181" s="152">
        <v>0.5</v>
      </c>
      <c r="J181" s="152">
        <v>1</v>
      </c>
      <c r="K181" s="223"/>
      <c r="L181" s="67"/>
      <c r="M181" s="201"/>
      <c r="N181" s="202"/>
      <c r="O181" s="202"/>
      <c r="P181" s="65"/>
      <c r="Q181" s="46"/>
    </row>
    <row r="182" spans="1:17" ht="13.5" customHeight="1">
      <c r="A182" s="57"/>
      <c r="B182" s="148"/>
      <c r="C182" s="148"/>
      <c r="D182" s="153"/>
      <c r="E182" s="148"/>
      <c r="F182" s="543"/>
      <c r="G182" s="46"/>
      <c r="H182" s="544" t="s">
        <v>351</v>
      </c>
      <c r="I182" s="544" t="s">
        <v>352</v>
      </c>
      <c r="J182" s="544" t="s">
        <v>353</v>
      </c>
      <c r="K182" s="46"/>
      <c r="L182" s="46"/>
      <c r="M182" s="155"/>
      <c r="N182" s="156"/>
      <c r="O182" s="156"/>
      <c r="P182" s="65"/>
      <c r="Q182" s="46"/>
    </row>
    <row r="183" spans="1:17" ht="17.25" customHeight="1">
      <c r="A183" s="157" t="s">
        <v>354</v>
      </c>
      <c r="B183" s="148"/>
      <c r="C183" s="148"/>
      <c r="D183" s="158"/>
      <c r="E183" s="159"/>
      <c r="F183" s="543"/>
      <c r="G183" s="161"/>
      <c r="H183" s="544"/>
      <c r="I183" s="544"/>
      <c r="J183" s="544"/>
      <c r="K183" s="162" t="s">
        <v>304</v>
      </c>
      <c r="L183" s="203" t="s">
        <v>305</v>
      </c>
      <c r="M183" s="155" t="s">
        <v>355</v>
      </c>
      <c r="N183" s="156"/>
      <c r="O183" s="156"/>
      <c r="P183" s="65"/>
      <c r="Q183" s="46"/>
    </row>
    <row r="184" spans="1:17" ht="12">
      <c r="A184" s="258" t="s">
        <v>356</v>
      </c>
      <c r="B184" s="259"/>
      <c r="C184" s="259"/>
      <c r="D184" s="302"/>
      <c r="E184" s="259"/>
      <c r="F184" s="302"/>
      <c r="G184" s="303"/>
      <c r="H184" s="208"/>
      <c r="I184" s="208"/>
      <c r="J184" s="208"/>
      <c r="K184" s="224">
        <v>0.03</v>
      </c>
      <c r="L184" s="210">
        <f>IF(AND(EXACT(H184,""),EXACT(I184,""),EXACT(J184,"")),"",IF(NOT(EXACT(J184,"")),IF(NOT(EXACT(K184,"")),K184*$J$181,""),IF(NOT(EXACT(I184,"")),IF(NOT(EXACT(K184,"")),K184*$I$181,""),IF(NOT(EXACT(H184,"")),IF(NOT(EXACT(K184,"")),K184*$H$181,"")))))</f>
      </c>
      <c r="M184" s="238" t="s">
        <v>602</v>
      </c>
      <c r="N184" s="239"/>
      <c r="O184" s="239"/>
      <c r="P184" s="65"/>
      <c r="Q184" s="46"/>
    </row>
    <row r="185" spans="1:17" ht="12">
      <c r="A185" s="258" t="s">
        <v>603</v>
      </c>
      <c r="B185" s="259"/>
      <c r="C185" s="259"/>
      <c r="D185" s="302"/>
      <c r="E185" s="259"/>
      <c r="F185" s="302"/>
      <c r="G185" s="303"/>
      <c r="H185" s="208"/>
      <c r="I185" s="208"/>
      <c r="J185" s="208"/>
      <c r="K185" s="224">
        <v>0.02</v>
      </c>
      <c r="L185" s="210">
        <f>IF(AND(EXACT(H185,""),EXACT(I185,""),EXACT(J185,"")),"",IF(NOT(EXACT(J185,"")),IF(NOT(EXACT(K185,"")),K185*$J$181,""),IF(NOT(EXACT(I185,"")),IF(NOT(EXACT(K185,"")),K185*$I$181,""),IF(NOT(EXACT(H185,"")),IF(NOT(EXACT(K185,"")),K185*$H$181,"")))))</f>
      </c>
      <c r="M185" s="238" t="s">
        <v>604</v>
      </c>
      <c r="N185" s="239"/>
      <c r="O185" s="239"/>
      <c r="P185" s="49"/>
      <c r="Q185" s="48"/>
    </row>
    <row r="186" spans="1:17" ht="12">
      <c r="A186" s="168"/>
      <c r="B186" s="148"/>
      <c r="C186" s="148"/>
      <c r="D186" s="169"/>
      <c r="E186" s="148"/>
      <c r="F186" s="169"/>
      <c r="G186" s="48"/>
      <c r="H186" s="540" t="s">
        <v>296</v>
      </c>
      <c r="I186" s="540"/>
      <c r="J186" s="540"/>
      <c r="K186" s="171">
        <f>SUM(K184:K185)</f>
        <v>0.05</v>
      </c>
      <c r="L186" s="225">
        <f>IF(AND(OR(NOT(EXACT(H184,"")),NOT(EXACT(I184,"")),NOT(EXACT(J184,""))),OR(NOT(EXACT(H185,"")),NOT(EXACT(I185,"")),NOT(EXACT(J185,"")))),SUM(L184:L185),"")</f>
      </c>
      <c r="M186" s="192"/>
      <c r="N186" s="46"/>
      <c r="O186" s="46"/>
      <c r="P186" s="49"/>
      <c r="Q186" s="48"/>
    </row>
    <row r="187" spans="1:17" ht="12">
      <c r="A187" s="192"/>
      <c r="B187" s="161"/>
      <c r="C187" s="161"/>
      <c r="D187" s="161"/>
      <c r="E187" s="161"/>
      <c r="F187" s="161"/>
      <c r="G187" s="161"/>
      <c r="H187" s="148"/>
      <c r="I187" s="148"/>
      <c r="J187" s="148"/>
      <c r="K187" s="220"/>
      <c r="L187" s="220"/>
      <c r="M187" s="192"/>
      <c r="N187" s="46"/>
      <c r="O187" s="46"/>
      <c r="P187" s="65"/>
      <c r="Q187" s="46"/>
    </row>
    <row r="188" spans="1:17" ht="12">
      <c r="A188" s="221"/>
      <c r="B188" s="222"/>
      <c r="C188" s="222"/>
      <c r="D188" s="222"/>
      <c r="E188" s="222"/>
      <c r="F188" s="222"/>
      <c r="G188" s="223"/>
      <c r="H188" s="151">
        <v>0</v>
      </c>
      <c r="I188" s="152">
        <v>0.5</v>
      </c>
      <c r="J188" s="151">
        <v>1</v>
      </c>
      <c r="K188" s="223"/>
      <c r="L188" s="67"/>
      <c r="M188" s="192"/>
      <c r="N188" s="46"/>
      <c r="O188" s="46"/>
      <c r="P188" s="65"/>
      <c r="Q188" s="46"/>
    </row>
    <row r="189" spans="1:17" ht="30" customHeight="1">
      <c r="A189" s="57"/>
      <c r="B189" s="148"/>
      <c r="C189" s="148"/>
      <c r="D189" s="148"/>
      <c r="E189" s="148"/>
      <c r="F189" s="148"/>
      <c r="G189" s="161"/>
      <c r="H189" s="229" t="s">
        <v>591</v>
      </c>
      <c r="I189" s="229" t="s">
        <v>361</v>
      </c>
      <c r="J189" s="229" t="s">
        <v>362</v>
      </c>
      <c r="K189" s="162" t="s">
        <v>304</v>
      </c>
      <c r="L189" s="163" t="s">
        <v>305</v>
      </c>
      <c r="M189" s="46"/>
      <c r="N189" s="46"/>
      <c r="O189" s="46"/>
      <c r="P189" s="65"/>
      <c r="Q189" s="46"/>
    </row>
    <row r="190" spans="1:17" ht="12">
      <c r="A190" s="258" t="s">
        <v>363</v>
      </c>
      <c r="B190" s="259"/>
      <c r="C190" s="259"/>
      <c r="D190" s="259"/>
      <c r="E190" s="259"/>
      <c r="F190" s="259"/>
      <c r="G190" s="306"/>
      <c r="H190" s="208"/>
      <c r="I190" s="166"/>
      <c r="J190" s="166"/>
      <c r="K190" s="167"/>
      <c r="L190" s="167"/>
      <c r="M190" s="46"/>
      <c r="N190" s="46"/>
      <c r="O190" s="46"/>
      <c r="P190" s="65"/>
      <c r="Q190" s="46"/>
    </row>
    <row r="191" spans="1:17" ht="12">
      <c r="A191" s="57"/>
      <c r="B191" s="148"/>
      <c r="C191" s="148"/>
      <c r="D191" s="148"/>
      <c r="E191" s="148"/>
      <c r="F191" s="148"/>
      <c r="G191" s="65"/>
      <c r="H191" s="540" t="s">
        <v>296</v>
      </c>
      <c r="I191" s="540"/>
      <c r="J191" s="540"/>
      <c r="K191" s="171">
        <v>0.05</v>
      </c>
      <c r="L191" s="230">
        <f>IF(AND(EXACT(H190,""),EXACT(I190,""),EXACT(J190,"")),"",IF(NOT(EXACT(J190,"")),IF(NOT(EXACT(K191,"")),K191*J188,""),IF(NOT(EXACT(I190,"")),IF(NOT(EXACT(K191,"")),K191*I188,""),IF(NOT(EXACT(H190,"")),IF(NOT(EXACT(K191,"")),K191*H188,"")))))</f>
      </c>
      <c r="M191" s="46"/>
      <c r="N191" s="46"/>
      <c r="O191" s="46"/>
      <c r="P191" s="65"/>
      <c r="Q191" s="46"/>
    </row>
    <row r="192" spans="1:17" ht="12">
      <c r="A192" s="192"/>
      <c r="B192" s="161"/>
      <c r="C192" s="161"/>
      <c r="D192" s="161"/>
      <c r="E192" s="161"/>
      <c r="F192" s="161"/>
      <c r="G192" s="161"/>
      <c r="H192" s="148"/>
      <c r="I192" s="148"/>
      <c r="J192" s="148"/>
      <c r="K192" s="220"/>
      <c r="L192" s="220"/>
      <c r="M192" s="192"/>
      <c r="N192" s="46"/>
      <c r="O192" s="46"/>
      <c r="P192" s="65"/>
      <c r="Q192" s="46"/>
    </row>
    <row r="193" spans="1:17" ht="12">
      <c r="A193" s="221"/>
      <c r="B193" s="222"/>
      <c r="C193" s="222"/>
      <c r="D193" s="222"/>
      <c r="E193" s="222"/>
      <c r="F193" s="222"/>
      <c r="G193" s="223"/>
      <c r="H193" s="151">
        <v>0</v>
      </c>
      <c r="I193" s="152">
        <v>0.5</v>
      </c>
      <c r="J193" s="151">
        <v>1</v>
      </c>
      <c r="K193" s="223"/>
      <c r="L193" s="67"/>
      <c r="M193" s="192"/>
      <c r="N193" s="46"/>
      <c r="O193" s="46"/>
      <c r="P193" s="65"/>
      <c r="Q193" s="46"/>
    </row>
    <row r="194" spans="1:17" ht="30" customHeight="1">
      <c r="A194" s="57"/>
      <c r="B194" s="148"/>
      <c r="C194" s="148"/>
      <c r="D194" s="148"/>
      <c r="E194" s="148"/>
      <c r="F194" s="148"/>
      <c r="G194" s="161"/>
      <c r="H194" s="229" t="s">
        <v>324</v>
      </c>
      <c r="I194" s="229" t="s">
        <v>364</v>
      </c>
      <c r="J194" s="229" t="s">
        <v>365</v>
      </c>
      <c r="K194" s="162" t="s">
        <v>304</v>
      </c>
      <c r="L194" s="163" t="s">
        <v>305</v>
      </c>
      <c r="M194" s="155" t="s">
        <v>355</v>
      </c>
      <c r="N194" s="156"/>
      <c r="O194" s="156"/>
      <c r="P194" s="65"/>
      <c r="Q194" s="46"/>
    </row>
    <row r="195" spans="1:17" ht="12">
      <c r="A195" s="258" t="s">
        <v>366</v>
      </c>
      <c r="B195" s="259"/>
      <c r="C195" s="259"/>
      <c r="D195" s="259"/>
      <c r="E195" s="259"/>
      <c r="F195" s="259"/>
      <c r="G195" s="306"/>
      <c r="H195" s="208"/>
      <c r="I195" s="166"/>
      <c r="J195" s="166"/>
      <c r="K195" s="167"/>
      <c r="L195" s="167"/>
      <c r="M195" s="238" t="s">
        <v>367</v>
      </c>
      <c r="N195" s="239"/>
      <c r="O195" s="239"/>
      <c r="P195" s="65"/>
      <c r="Q195" s="46"/>
    </row>
    <row r="196" spans="1:17" ht="12">
      <c r="A196" s="57"/>
      <c r="B196" s="148"/>
      <c r="C196" s="148"/>
      <c r="D196" s="148"/>
      <c r="E196" s="148"/>
      <c r="F196" s="148"/>
      <c r="G196" s="65"/>
      <c r="H196" s="540" t="s">
        <v>296</v>
      </c>
      <c r="I196" s="540"/>
      <c r="J196" s="540"/>
      <c r="K196" s="171">
        <v>0.1</v>
      </c>
      <c r="L196" s="230">
        <f>IF(AND(EXACT(H195,""),EXACT(I195,""),EXACT(J195,"")),"",IF(NOT(EXACT(J195,"")),IF(NOT(EXACT(K196,"")),K196*J193,""),IF(NOT(EXACT(I195,"")),IF(NOT(EXACT(K196,"")),K196*I193,""),IF(NOT(EXACT(H195,"")),IF(NOT(EXACT(K196,"")),K196*H193,"")))))</f>
      </c>
      <c r="M196" s="238" t="s">
        <v>368</v>
      </c>
      <c r="N196" s="239"/>
      <c r="O196" s="239"/>
      <c r="P196" s="65"/>
      <c r="Q196" s="46"/>
    </row>
    <row r="197" spans="1:17" ht="13.5" customHeight="1">
      <c r="A197" s="219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219"/>
      <c r="N197" s="175"/>
      <c r="O197" s="175"/>
      <c r="P197" s="68"/>
      <c r="Q197" s="46"/>
    </row>
    <row r="198" spans="1:6" ht="7.5" customHeight="1">
      <c r="A198" s="242"/>
      <c r="B198" s="242"/>
      <c r="C198" s="242"/>
      <c r="D198" s="242"/>
      <c r="E198" s="242"/>
      <c r="F198" s="242"/>
    </row>
    <row r="199" spans="1:17" ht="15">
      <c r="A199" s="54" t="s">
        <v>575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 t="s">
        <v>296</v>
      </c>
      <c r="N199" s="145">
        <f>IF(NOT(EXACT(L211,"")),L211*100,0)</f>
        <v>0</v>
      </c>
      <c r="O199" s="55" t="s">
        <v>297</v>
      </c>
      <c r="P199" s="146">
        <f>K211*100</f>
        <v>6</v>
      </c>
      <c r="Q199" s="180"/>
    </row>
    <row r="200" spans="1:17" ht="12">
      <c r="A200" s="57"/>
      <c r="B200" s="148"/>
      <c r="C200" s="148"/>
      <c r="D200" s="148"/>
      <c r="E200" s="148"/>
      <c r="F200" s="222"/>
      <c r="G200" s="223"/>
      <c r="H200" s="223"/>
      <c r="I200" s="223"/>
      <c r="J200" s="223"/>
      <c r="K200" s="223"/>
      <c r="L200" s="67"/>
      <c r="M200" s="244"/>
      <c r="N200" s="223"/>
      <c r="O200" s="223"/>
      <c r="P200" s="67"/>
      <c r="Q200" s="46"/>
    </row>
    <row r="201" spans="1:17" ht="12">
      <c r="A201" s="186" t="s">
        <v>605</v>
      </c>
      <c r="B201" s="187"/>
      <c r="C201" s="187"/>
      <c r="D201" s="187"/>
      <c r="E201" s="187"/>
      <c r="F201" s="187"/>
      <c r="G201" s="188"/>
      <c r="H201" s="548"/>
      <c r="I201" s="548"/>
      <c r="J201" s="548"/>
      <c r="K201" s="190"/>
      <c r="L201" s="191"/>
      <c r="M201" s="201"/>
      <c r="N201" s="202"/>
      <c r="O201" s="202"/>
      <c r="P201" s="199"/>
      <c r="Q201" s="202"/>
    </row>
    <row r="202" spans="1:17" ht="12">
      <c r="A202" s="193"/>
      <c r="B202" s="161"/>
      <c r="C202" s="161"/>
      <c r="D202" s="161"/>
      <c r="E202" s="161"/>
      <c r="F202" s="161"/>
      <c r="G202" s="194"/>
      <c r="H202" s="195">
        <v>0</v>
      </c>
      <c r="I202" s="196">
        <v>0.75</v>
      </c>
      <c r="J202" s="195">
        <v>1</v>
      </c>
      <c r="K202" s="197"/>
      <c r="L202" s="154"/>
      <c r="M202" s="192"/>
      <c r="N202" s="46"/>
      <c r="O202" s="46"/>
      <c r="P202" s="65"/>
      <c r="Q202" s="46"/>
    </row>
    <row r="203" spans="1:17" ht="12.75" customHeight="1">
      <c r="A203" s="198"/>
      <c r="B203" s="148"/>
      <c r="C203" s="148"/>
      <c r="D203" s="148"/>
      <c r="E203" s="148"/>
      <c r="F203" s="148"/>
      <c r="G203" s="199"/>
      <c r="H203" s="544" t="s">
        <v>591</v>
      </c>
      <c r="I203" s="544" t="s">
        <v>606</v>
      </c>
      <c r="J203" s="544" t="s">
        <v>607</v>
      </c>
      <c r="K203" s="200"/>
      <c r="L203" s="160"/>
      <c r="M203" s="192"/>
      <c r="N203" s="46"/>
      <c r="O203" s="46"/>
      <c r="P203" s="65"/>
      <c r="Q203" s="46"/>
    </row>
    <row r="204" spans="1:17" ht="36" customHeight="1">
      <c r="A204" s="198"/>
      <c r="B204" s="257" t="s">
        <v>608</v>
      </c>
      <c r="C204" s="148"/>
      <c r="D204" s="148"/>
      <c r="E204" s="148"/>
      <c r="F204" s="148"/>
      <c r="G204" s="199"/>
      <c r="H204" s="544"/>
      <c r="I204" s="544"/>
      <c r="J204" s="544"/>
      <c r="K204" s="162" t="s">
        <v>304</v>
      </c>
      <c r="L204" s="203" t="s">
        <v>305</v>
      </c>
      <c r="M204" s="192"/>
      <c r="N204" s="46"/>
      <c r="O204" s="46"/>
      <c r="P204" s="65"/>
      <c r="Q204" s="46"/>
    </row>
    <row r="205" spans="1:17" ht="12">
      <c r="A205" s="204"/>
      <c r="B205" s="545" t="s">
        <v>609</v>
      </c>
      <c r="C205" s="545"/>
      <c r="D205" s="545"/>
      <c r="E205" s="546"/>
      <c r="F205" s="546"/>
      <c r="G205" s="546"/>
      <c r="H205" s="207"/>
      <c r="I205" s="207"/>
      <c r="J205" s="208"/>
      <c r="K205" s="209">
        <f>IF($H$201&gt;=1,$K$211/$H$201,"")</f>
      </c>
      <c r="L205" s="210">
        <f>IF(OR(AND(EXACT(H205,""),EXACT(I205,""),EXACT(J205,"")),EXACT($H$201,"")),"",IF(NOT(EXACT(J205,"")),IF(NOT(EXACT(K205,"")),K205*J202,""),IF(NOT(EXACT(I205,"")),IF(NOT(EXACT(K205,"")),K205*I202,""),IF(NOT(EXACT(H205,"")),IF(NOT(EXACT(K205,"")),K205*H202,"")))))</f>
      </c>
      <c r="M205" s="192"/>
      <c r="N205" s="46"/>
      <c r="O205" s="46"/>
      <c r="P205" s="65"/>
      <c r="Q205" s="46"/>
    </row>
    <row r="206" spans="1:17" ht="12">
      <c r="A206" s="204"/>
      <c r="B206" s="545" t="s">
        <v>610</v>
      </c>
      <c r="C206" s="545"/>
      <c r="D206" s="545"/>
      <c r="E206" s="547"/>
      <c r="F206" s="547"/>
      <c r="G206" s="547"/>
      <c r="H206" s="207"/>
      <c r="I206" s="207"/>
      <c r="J206" s="208"/>
      <c r="K206" s="209">
        <f>IF($H$201&gt;=2,$K$211/$H$201,"")</f>
      </c>
      <c r="L206" s="210">
        <f>IF(OR(AND(EXACT(H206,""),EXACT(I206,""),EXACT(J206,"")),EXACT($H$201,"")),"",IF(NOT(EXACT(J206,"")),IF(NOT(EXACT(K206,"")),K206*J202,""),IF(NOT(EXACT(I206,"")),IF(NOT(EXACT(K206,"")),K206*I202,""),IF(NOT(EXACT(H206,"")),IF(NOT(EXACT(K206,"")),K206*H202,"")))))</f>
      </c>
      <c r="M206" s="192"/>
      <c r="N206" s="46"/>
      <c r="O206" s="46"/>
      <c r="P206" s="65"/>
      <c r="Q206" s="46"/>
    </row>
    <row r="207" spans="1:17" ht="12">
      <c r="A207" s="204"/>
      <c r="B207" s="545" t="s">
        <v>611</v>
      </c>
      <c r="C207" s="545"/>
      <c r="D207" s="545"/>
      <c r="E207" s="574"/>
      <c r="F207" s="574"/>
      <c r="G207" s="574"/>
      <c r="H207" s="207"/>
      <c r="I207" s="207"/>
      <c r="J207" s="208"/>
      <c r="K207" s="209">
        <f>IF($H$201&gt;=3,$K$211/$H$201,"")</f>
      </c>
      <c r="L207" s="210">
        <f>IF(OR(AND(EXACT(H207,""),EXACT(I207,""),EXACT(J207,"")),EXACT($H$201,"")),"",IF(NOT(EXACT(J207,"")),IF(NOT(EXACT(K207,"")),K207*J202,""),IF(NOT(EXACT(I207,"")),IF(NOT(EXACT(K207,"")),K207*I202,""),IF(NOT(EXACT(H207,"")),IF(NOT(EXACT(K207,"")),K207*H202,"")))))</f>
      </c>
      <c r="M207" s="192"/>
      <c r="N207" s="46"/>
      <c r="O207" s="46"/>
      <c r="P207" s="65"/>
      <c r="Q207" s="46"/>
    </row>
    <row r="208" spans="1:17" ht="12">
      <c r="A208" s="204"/>
      <c r="B208" s="545" t="s">
        <v>612</v>
      </c>
      <c r="C208" s="545"/>
      <c r="D208" s="545"/>
      <c r="E208" s="574"/>
      <c r="F208" s="574"/>
      <c r="G208" s="574"/>
      <c r="H208" s="207"/>
      <c r="I208" s="207"/>
      <c r="J208" s="208"/>
      <c r="K208" s="209">
        <f>IF($H$201&gt;=4,$K$211/$H$201,"")</f>
      </c>
      <c r="L208" s="210">
        <f>IF(OR(AND(EXACT(H208,""),EXACT(I208,""),EXACT(J208,"")),EXACT($H$201,"")),"",IF(NOT(EXACT(J208,"")),IF(NOT(EXACT(K208,"")),K208*J202,""),IF(NOT(EXACT(I208,"")),IF(NOT(EXACT(K208,"")),K208*I202,""),IF(NOT(EXACT(H208,"")),IF(NOT(EXACT(K208,"")),K208*H202,"")))))</f>
      </c>
      <c r="M208" s="192"/>
      <c r="N208" s="46"/>
      <c r="O208" s="46"/>
      <c r="P208" s="65"/>
      <c r="Q208" s="46"/>
    </row>
    <row r="209" spans="1:17" ht="12">
      <c r="A209" s="204"/>
      <c r="B209" s="545" t="s">
        <v>613</v>
      </c>
      <c r="C209" s="545"/>
      <c r="D209" s="545"/>
      <c r="E209" s="574"/>
      <c r="F209" s="574"/>
      <c r="G209" s="574"/>
      <c r="H209" s="207"/>
      <c r="I209" s="207"/>
      <c r="J209" s="208"/>
      <c r="K209" s="209">
        <f>IF($H$201&gt;=5,$K$211/$H$201,"")</f>
      </c>
      <c r="L209" s="210">
        <f>IF(OR(AND(EXACT(H209,""),EXACT(I209,""),EXACT(J209,"")),EXACT($H$201,"")),"",IF(NOT(EXACT(J209,"")),IF(NOT(EXACT(K209,"")),K209*J202,""),IF(NOT(EXACT(I209,"")),IF(NOT(EXACT(K209,"")),K209*I202,""),IF(NOT(EXACT(H209,"")),IF(NOT(EXACT(K209,"")),K209*H202,"")))))</f>
      </c>
      <c r="M209" s="192"/>
      <c r="N209" s="46"/>
      <c r="O209" s="46"/>
      <c r="P209" s="65"/>
      <c r="Q209" s="46"/>
    </row>
    <row r="210" spans="1:17" ht="12">
      <c r="A210" s="204"/>
      <c r="B210" s="541" t="s">
        <v>614</v>
      </c>
      <c r="C210" s="541"/>
      <c r="D210" s="541"/>
      <c r="E210" s="542"/>
      <c r="F210" s="542"/>
      <c r="G210" s="542"/>
      <c r="H210" s="207"/>
      <c r="I210" s="207"/>
      <c r="J210" s="208"/>
      <c r="K210" s="209">
        <f>IF($H$201&gt;=6,$K$211/$H$201,"")</f>
      </c>
      <c r="L210" s="210">
        <f>IF(OR(AND(EXACT(H210,""),EXACT(I210,""),EXACT(J210,"")),EXACT($H$201,"")),"",IF(NOT(EXACT(J210,"")),IF(NOT(EXACT(K210,"")),K210*J202,""),IF(NOT(EXACT(I210,"")),IF(NOT(EXACT(K210,"")),K210*I202,""),IF(NOT(EXACT(H210,"")),IF(NOT(EXACT(K210,"")),K210*H202,"")))))</f>
      </c>
      <c r="M210" s="192"/>
      <c r="N210" s="46"/>
      <c r="O210" s="46"/>
      <c r="P210" s="65"/>
      <c r="Q210" s="46"/>
    </row>
    <row r="211" spans="1:17" ht="12">
      <c r="A211" s="192"/>
      <c r="B211" s="161"/>
      <c r="C211" s="161"/>
      <c r="D211" s="161"/>
      <c r="E211" s="161"/>
      <c r="F211" s="161"/>
      <c r="G211" s="161"/>
      <c r="H211" s="540" t="s">
        <v>296</v>
      </c>
      <c r="I211" s="540"/>
      <c r="J211" s="540"/>
      <c r="K211" s="171">
        <v>0.06</v>
      </c>
      <c r="L211" s="218">
        <f>IF(EXACT(H201,""),"",IF(H201=0,K211,SUM(L205:L210)))</f>
      </c>
      <c r="M211" s="192"/>
      <c r="N211" s="46"/>
      <c r="O211" s="46"/>
      <c r="P211" s="65"/>
      <c r="Q211" s="46"/>
    </row>
    <row r="212" spans="1:17" ht="12">
      <c r="A212" s="57"/>
      <c r="B212" s="148"/>
      <c r="C212" s="148"/>
      <c r="D212" s="148"/>
      <c r="E212" s="148"/>
      <c r="F212" s="148"/>
      <c r="G212" s="46"/>
      <c r="H212" s="46"/>
      <c r="I212" s="46"/>
      <c r="J212" s="46"/>
      <c r="K212" s="46"/>
      <c r="L212" s="65"/>
      <c r="M212" s="192"/>
      <c r="N212" s="46"/>
      <c r="O212" s="46"/>
      <c r="P212" s="65"/>
      <c r="Q212" s="46"/>
    </row>
    <row r="213" spans="1:17" ht="12">
      <c r="A213" s="308"/>
      <c r="B213" s="259"/>
      <c r="C213" s="259"/>
      <c r="D213" s="259"/>
      <c r="E213" s="259"/>
      <c r="F213" s="259"/>
      <c r="G213" s="309"/>
      <c r="H213" s="309"/>
      <c r="I213" s="309"/>
      <c r="J213" s="309"/>
      <c r="K213" s="309"/>
      <c r="L213" s="309"/>
      <c r="M213" s="309"/>
      <c r="N213" s="309"/>
      <c r="O213" s="309"/>
      <c r="P213" s="306"/>
      <c r="Q213" s="46"/>
    </row>
    <row r="214" spans="1:17" s="180" customFormat="1" ht="15">
      <c r="A214" s="54" t="s">
        <v>369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 t="s">
        <v>296</v>
      </c>
      <c r="N214" s="145">
        <f>IF(NOT(EXACT(L222,"")),L222*100,0)</f>
        <v>0</v>
      </c>
      <c r="O214" s="55" t="s">
        <v>297</v>
      </c>
      <c r="P214" s="146">
        <f>K222*100</f>
        <v>13</v>
      </c>
      <c r="Q214" s="243"/>
    </row>
    <row r="215" spans="1:246" s="46" customFormat="1" ht="12">
      <c r="A215" s="57"/>
      <c r="B215" s="148"/>
      <c r="C215" s="148"/>
      <c r="D215" s="148"/>
      <c r="E215" s="148"/>
      <c r="F215" s="222"/>
      <c r="G215" s="223"/>
      <c r="H215" s="223"/>
      <c r="I215" s="223"/>
      <c r="J215" s="223"/>
      <c r="K215" s="223"/>
      <c r="L215" s="67"/>
      <c r="M215" s="244"/>
      <c r="N215" s="223"/>
      <c r="O215" s="223"/>
      <c r="P215" s="67"/>
      <c r="Q215" s="57"/>
      <c r="R215" s="148"/>
      <c r="S215" s="148"/>
      <c r="T215" s="148"/>
      <c r="U215" s="148"/>
      <c r="V215" s="148"/>
      <c r="AG215" s="148"/>
      <c r="AH215" s="148"/>
      <c r="AI215" s="148"/>
      <c r="AJ215" s="148"/>
      <c r="AK215" s="148"/>
      <c r="AL215" s="148"/>
      <c r="AW215" s="148"/>
      <c r="AX215" s="148"/>
      <c r="AY215" s="148"/>
      <c r="AZ215" s="148"/>
      <c r="BA215" s="148"/>
      <c r="BB215" s="148"/>
      <c r="BM215" s="148"/>
      <c r="BN215" s="148"/>
      <c r="BO215" s="148"/>
      <c r="BP215" s="148"/>
      <c r="BQ215" s="148"/>
      <c r="BR215" s="148"/>
      <c r="CC215" s="148"/>
      <c r="CD215" s="148"/>
      <c r="CE215" s="148"/>
      <c r="CF215" s="148"/>
      <c r="CG215" s="148"/>
      <c r="CH215" s="148"/>
      <c r="CS215" s="148"/>
      <c r="CT215" s="148"/>
      <c r="CU215" s="148"/>
      <c r="CV215" s="148"/>
      <c r="CW215" s="148"/>
      <c r="CX215" s="148"/>
      <c r="DI215" s="148"/>
      <c r="DJ215" s="148"/>
      <c r="DK215" s="148"/>
      <c r="DL215" s="148"/>
      <c r="DM215" s="148"/>
      <c r="DN215" s="148"/>
      <c r="DY215" s="148"/>
      <c r="DZ215" s="148"/>
      <c r="EA215" s="148"/>
      <c r="EB215" s="148"/>
      <c r="EC215" s="148"/>
      <c r="ED215" s="148"/>
      <c r="EO215" s="148"/>
      <c r="EP215" s="148"/>
      <c r="EQ215" s="148"/>
      <c r="ER215" s="148"/>
      <c r="ES215" s="148"/>
      <c r="ET215" s="148"/>
      <c r="FE215" s="148"/>
      <c r="FF215" s="148"/>
      <c r="FG215" s="148"/>
      <c r="FH215" s="148"/>
      <c r="FI215" s="148"/>
      <c r="FJ215" s="148"/>
      <c r="FU215" s="148"/>
      <c r="FV215" s="148"/>
      <c r="FW215" s="148"/>
      <c r="FX215" s="148"/>
      <c r="FY215" s="148"/>
      <c r="FZ215" s="148"/>
      <c r="GK215" s="148"/>
      <c r="GL215" s="148"/>
      <c r="GM215" s="148"/>
      <c r="GN215" s="148"/>
      <c r="GO215" s="148"/>
      <c r="GP215" s="148"/>
      <c r="HA215" s="148"/>
      <c r="HB215" s="148"/>
      <c r="HC215" s="148"/>
      <c r="HD215" s="148"/>
      <c r="HE215" s="148"/>
      <c r="HF215" s="148"/>
      <c r="HQ215" s="148"/>
      <c r="HR215" s="148"/>
      <c r="HS215" s="148"/>
      <c r="HT215" s="148"/>
      <c r="HU215" s="148"/>
      <c r="HV215" s="148"/>
      <c r="IG215" s="148"/>
      <c r="IH215" s="148"/>
      <c r="II215" s="148"/>
      <c r="IJ215" s="148"/>
      <c r="IK215" s="148"/>
      <c r="IL215" s="148"/>
    </row>
    <row r="216" spans="1:17" s="46" customFormat="1" ht="12">
      <c r="A216" s="221"/>
      <c r="B216" s="222"/>
      <c r="C216" s="222"/>
      <c r="D216" s="222"/>
      <c r="E216" s="222"/>
      <c r="F216" s="222"/>
      <c r="G216" s="223"/>
      <c r="H216" s="151">
        <v>0</v>
      </c>
      <c r="I216" s="152">
        <v>0.5</v>
      </c>
      <c r="J216" s="151">
        <v>1</v>
      </c>
      <c r="K216" s="223"/>
      <c r="L216" s="67"/>
      <c r="M216" s="192"/>
      <c r="P216" s="65"/>
      <c r="Q216" s="192"/>
    </row>
    <row r="217" spans="1:17" s="46" customFormat="1" ht="30" customHeight="1">
      <c r="A217" s="157"/>
      <c r="B217" s="148"/>
      <c r="C217" s="148"/>
      <c r="D217" s="148"/>
      <c r="E217" s="148"/>
      <c r="F217" s="148"/>
      <c r="G217" s="161"/>
      <c r="H217" s="229" t="s">
        <v>299</v>
      </c>
      <c r="I217" s="229" t="s">
        <v>300</v>
      </c>
      <c r="J217" s="229" t="s">
        <v>301</v>
      </c>
      <c r="K217" s="162" t="s">
        <v>304</v>
      </c>
      <c r="L217" s="163" t="s">
        <v>305</v>
      </c>
      <c r="P217" s="65"/>
      <c r="Q217" s="192"/>
    </row>
    <row r="218" spans="1:17" s="46" customFormat="1" ht="12">
      <c r="A218" s="258" t="s">
        <v>370</v>
      </c>
      <c r="B218" s="259"/>
      <c r="C218" s="259"/>
      <c r="D218" s="259"/>
      <c r="E218" s="259"/>
      <c r="F218" s="259"/>
      <c r="G218" s="306"/>
      <c r="H218" s="208"/>
      <c r="I218" s="166"/>
      <c r="J218" s="166"/>
      <c r="K218" s="224">
        <v>0.04</v>
      </c>
      <c r="L218" s="209">
        <f>IF(AND(EXACT(H218,""),EXACT(I218,""),EXACT(J218,"")),"",IF(NOT(EXACT(J218,"")),IF(NOT(EXACT(K218,"")),K218*$J$216,""),IF(NOT(EXACT(I218,"")),IF(NOT(EXACT(K218,"")),K218*$I$216,""),IF(NOT(EXACT(H218,"")),IF(NOT(EXACT(K218,"")),K218*$H$216,"")))))</f>
      </c>
      <c r="M218" s="156" t="s">
        <v>302</v>
      </c>
      <c r="P218" s="65"/>
      <c r="Q218" s="192"/>
    </row>
    <row r="219" spans="1:17" s="46" customFormat="1" ht="12">
      <c r="A219" s="258" t="s">
        <v>371</v>
      </c>
      <c r="B219" s="259"/>
      <c r="C219" s="259"/>
      <c r="D219" s="259"/>
      <c r="E219" s="259"/>
      <c r="F219" s="259"/>
      <c r="G219" s="306"/>
      <c r="H219" s="208"/>
      <c r="I219" s="166"/>
      <c r="J219" s="166"/>
      <c r="K219" s="224">
        <v>0.05</v>
      </c>
      <c r="L219" s="209">
        <f>IF(AND(EXACT(H219,""),EXACT(I219,""),EXACT(J219,"")),"",IF(NOT(EXACT(J219,"")),IF(NOT(EXACT(K219,"")),K219*$J$216,""),IF(NOT(EXACT(I219,"")),IF(NOT(EXACT(K219,"")),K219*$I$216,""),IF(NOT(EXACT(H219,"")),IF(NOT(EXACT(K219,"")),K219*$H$216,"")))))</f>
      </c>
      <c r="M219" s="239" t="s">
        <v>615</v>
      </c>
      <c r="P219" s="65"/>
      <c r="Q219" s="192"/>
    </row>
    <row r="220" spans="1:17" s="46" customFormat="1" ht="12">
      <c r="A220" s="258" t="s">
        <v>616</v>
      </c>
      <c r="B220" s="259"/>
      <c r="C220" s="259"/>
      <c r="D220" s="259"/>
      <c r="E220" s="259"/>
      <c r="F220" s="259"/>
      <c r="G220" s="306"/>
      <c r="H220" s="208"/>
      <c r="I220" s="166"/>
      <c r="J220" s="166"/>
      <c r="K220" s="224">
        <v>0.02</v>
      </c>
      <c r="L220" s="209">
        <f>IF(AND(EXACT(H220,""),EXACT(I220,""),EXACT(J220,"")),"",IF(NOT(EXACT(J220,"")),IF(NOT(EXACT(K220,"")),K220*$J$216,""),IF(NOT(EXACT(I220,"")),IF(NOT(EXACT(K220,"")),K220*$I$216,""),IF(NOT(EXACT(H220,"")),IF(NOT(EXACT(K220,"")),K220*$H$216,"")))))</f>
      </c>
      <c r="M220" s="239" t="s">
        <v>617</v>
      </c>
      <c r="P220" s="65"/>
      <c r="Q220" s="192"/>
    </row>
    <row r="221" spans="1:17" s="46" customFormat="1" ht="12">
      <c r="A221" s="258" t="s">
        <v>372</v>
      </c>
      <c r="B221" s="259"/>
      <c r="C221" s="259"/>
      <c r="D221" s="259"/>
      <c r="E221" s="259"/>
      <c r="F221" s="259"/>
      <c r="G221" s="306"/>
      <c r="H221" s="208"/>
      <c r="I221" s="166"/>
      <c r="J221" s="166"/>
      <c r="K221" s="224">
        <v>0.02</v>
      </c>
      <c r="L221" s="209">
        <f>IF(AND(EXACT(H221,""),EXACT(I221,""),EXACT(J221,"")),"",IF(NOT(EXACT(J221,"")),IF(NOT(EXACT(K221,"")),K221*$J$216,""),IF(NOT(EXACT(I221,"")),IF(NOT(EXACT(K221,"")),K221*$I$216,""),IF(NOT(EXACT(H221,"")),IF(NOT(EXACT(K221,"")),K221*$H$216,"")))))</f>
      </c>
      <c r="P221" s="65"/>
      <c r="Q221" s="192"/>
    </row>
    <row r="222" spans="1:17" s="46" customFormat="1" ht="12">
      <c r="A222" s="57"/>
      <c r="B222" s="148"/>
      <c r="C222" s="148"/>
      <c r="D222" s="148"/>
      <c r="E222" s="148"/>
      <c r="F222" s="148"/>
      <c r="G222" s="65"/>
      <c r="H222" s="540" t="s">
        <v>296</v>
      </c>
      <c r="I222" s="540"/>
      <c r="J222" s="540"/>
      <c r="K222" s="171">
        <f>SUM(K218:K221)</f>
        <v>0.13</v>
      </c>
      <c r="L222" s="230">
        <f>IF(AND(NOT(EXACT(L218,"")),NOT(EXACT(L219,"")),NOT(EXACT(L220,"")),NOT(EXACT(L221,""))),SUM(L218:L221),"")</f>
      </c>
      <c r="P222" s="65"/>
      <c r="Q222" s="192"/>
    </row>
    <row r="223" spans="1:246" s="202" customFormat="1" ht="12">
      <c r="A223" s="57"/>
      <c r="B223" s="148"/>
      <c r="C223" s="148"/>
      <c r="D223" s="148"/>
      <c r="E223" s="148"/>
      <c r="F223" s="148"/>
      <c r="L223" s="199"/>
      <c r="M223" s="201"/>
      <c r="P223" s="199"/>
      <c r="Q223" s="57"/>
      <c r="R223" s="148"/>
      <c r="S223" s="148"/>
      <c r="T223" s="148"/>
      <c r="U223" s="148"/>
      <c r="V223" s="148"/>
      <c r="AG223" s="148"/>
      <c r="AH223" s="148"/>
      <c r="AI223" s="148"/>
      <c r="AJ223" s="148"/>
      <c r="AK223" s="148"/>
      <c r="AL223" s="148"/>
      <c r="AW223" s="148"/>
      <c r="AX223" s="148"/>
      <c r="AY223" s="148"/>
      <c r="AZ223" s="148"/>
      <c r="BA223" s="148"/>
      <c r="BB223" s="148"/>
      <c r="BM223" s="148"/>
      <c r="BN223" s="148"/>
      <c r="BO223" s="148"/>
      <c r="BP223" s="148"/>
      <c r="BQ223" s="148"/>
      <c r="BR223" s="148"/>
      <c r="CC223" s="148"/>
      <c r="CD223" s="148"/>
      <c r="CE223" s="148"/>
      <c r="CF223" s="148"/>
      <c r="CG223" s="148"/>
      <c r="CH223" s="148"/>
      <c r="CS223" s="148"/>
      <c r="CT223" s="148"/>
      <c r="CU223" s="148"/>
      <c r="CV223" s="148"/>
      <c r="CW223" s="148"/>
      <c r="CX223" s="148"/>
      <c r="DI223" s="148"/>
      <c r="DJ223" s="148"/>
      <c r="DK223" s="148"/>
      <c r="DL223" s="148"/>
      <c r="DM223" s="148"/>
      <c r="DN223" s="148"/>
      <c r="DY223" s="148"/>
      <c r="DZ223" s="148"/>
      <c r="EA223" s="148"/>
      <c r="EB223" s="148"/>
      <c r="EC223" s="148"/>
      <c r="ED223" s="148"/>
      <c r="EO223" s="148"/>
      <c r="EP223" s="148"/>
      <c r="EQ223" s="148"/>
      <c r="ER223" s="148"/>
      <c r="ES223" s="148"/>
      <c r="ET223" s="148"/>
      <c r="FE223" s="148"/>
      <c r="FF223" s="148"/>
      <c r="FG223" s="148"/>
      <c r="FH223" s="148"/>
      <c r="FI223" s="148"/>
      <c r="FJ223" s="148"/>
      <c r="FU223" s="148"/>
      <c r="FV223" s="148"/>
      <c r="FW223" s="148"/>
      <c r="FX223" s="148"/>
      <c r="FY223" s="148"/>
      <c r="FZ223" s="148"/>
      <c r="GK223" s="148"/>
      <c r="GL223" s="148"/>
      <c r="GM223" s="148"/>
      <c r="GN223" s="148"/>
      <c r="GO223" s="148"/>
      <c r="GP223" s="148"/>
      <c r="HA223" s="148"/>
      <c r="HB223" s="148"/>
      <c r="HC223" s="148"/>
      <c r="HD223" s="148"/>
      <c r="HE223" s="148"/>
      <c r="HF223" s="148"/>
      <c r="HQ223" s="148"/>
      <c r="HR223" s="148"/>
      <c r="HS223" s="148"/>
      <c r="HT223" s="148"/>
      <c r="HU223" s="148"/>
      <c r="HV223" s="148"/>
      <c r="IG223" s="148"/>
      <c r="IH223" s="148"/>
      <c r="II223" s="148"/>
      <c r="IJ223" s="148"/>
      <c r="IK223" s="148"/>
      <c r="IL223" s="148"/>
    </row>
    <row r="224" spans="1:16" ht="6.75" customHeight="1">
      <c r="A224" s="223"/>
      <c r="B224" s="223"/>
      <c r="C224" s="223"/>
      <c r="D224" s="223"/>
      <c r="E224" s="223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</row>
    <row r="225" s="256" customFormat="1" ht="12"/>
    <row r="226" s="256" customFormat="1" ht="12"/>
    <row r="228" ht="12">
      <c r="S228" s="288"/>
    </row>
  </sheetData>
  <sheetProtection password="DD05" sheet="1" objects="1" scenarios="1"/>
  <mergeCells count="174">
    <mergeCell ref="G10:J10"/>
    <mergeCell ref="A2:Q2"/>
    <mergeCell ref="A4:Q4"/>
    <mergeCell ref="A6:C6"/>
    <mergeCell ref="D6:G6"/>
    <mergeCell ref="H6:M6"/>
    <mergeCell ref="N6:P6"/>
    <mergeCell ref="A16:P16"/>
    <mergeCell ref="A11:B11"/>
    <mergeCell ref="G11:J11"/>
    <mergeCell ref="A12:B12"/>
    <mergeCell ref="G12:J12"/>
    <mergeCell ref="A8:C8"/>
    <mergeCell ref="D8:G8"/>
    <mergeCell ref="A15:P15"/>
    <mergeCell ref="H8:M8"/>
    <mergeCell ref="A10:B10"/>
    <mergeCell ref="H27:J27"/>
    <mergeCell ref="A13:B13"/>
    <mergeCell ref="G13:J13"/>
    <mergeCell ref="H29:H30"/>
    <mergeCell ref="I29:I30"/>
    <mergeCell ref="J29:J30"/>
    <mergeCell ref="H21:H22"/>
    <mergeCell ref="I21:I22"/>
    <mergeCell ref="J21:J22"/>
    <mergeCell ref="H25:J25"/>
    <mergeCell ref="C43:G43"/>
    <mergeCell ref="C44:G44"/>
    <mergeCell ref="B31:C31"/>
    <mergeCell ref="D31:G31"/>
    <mergeCell ref="C32:G32"/>
    <mergeCell ref="C33:G33"/>
    <mergeCell ref="C34:G34"/>
    <mergeCell ref="C35:G35"/>
    <mergeCell ref="C36:G36"/>
    <mergeCell ref="C37:G37"/>
    <mergeCell ref="B38:L38"/>
    <mergeCell ref="B39:C39"/>
    <mergeCell ref="D39:G39"/>
    <mergeCell ref="C40:G40"/>
    <mergeCell ref="C41:G41"/>
    <mergeCell ref="C42:G42"/>
    <mergeCell ref="C58:G58"/>
    <mergeCell ref="C59:G59"/>
    <mergeCell ref="C45:G45"/>
    <mergeCell ref="B46:L46"/>
    <mergeCell ref="B47:C47"/>
    <mergeCell ref="D47:G47"/>
    <mergeCell ref="C48:G48"/>
    <mergeCell ref="C49:G49"/>
    <mergeCell ref="C50:G50"/>
    <mergeCell ref="C51:G51"/>
    <mergeCell ref="C65:G65"/>
    <mergeCell ref="C66:G66"/>
    <mergeCell ref="C67:G67"/>
    <mergeCell ref="C52:G52"/>
    <mergeCell ref="C53:G53"/>
    <mergeCell ref="B54:L54"/>
    <mergeCell ref="B55:C55"/>
    <mergeCell ref="D55:G55"/>
    <mergeCell ref="C56:G56"/>
    <mergeCell ref="C57:G57"/>
    <mergeCell ref="C60:G60"/>
    <mergeCell ref="C61:G61"/>
    <mergeCell ref="B62:L62"/>
    <mergeCell ref="B63:C63"/>
    <mergeCell ref="D63:G63"/>
    <mergeCell ref="C64:G64"/>
    <mergeCell ref="D87:G87"/>
    <mergeCell ref="C68:G68"/>
    <mergeCell ref="C69:G69"/>
    <mergeCell ref="B70:L70"/>
    <mergeCell ref="B71:C71"/>
    <mergeCell ref="D71:G71"/>
    <mergeCell ref="C72:G72"/>
    <mergeCell ref="C73:G73"/>
    <mergeCell ref="C74:G74"/>
    <mergeCell ref="C75:G75"/>
    <mergeCell ref="B91:C91"/>
    <mergeCell ref="D91:G91"/>
    <mergeCell ref="C76:G76"/>
    <mergeCell ref="C77:G77"/>
    <mergeCell ref="H78:J78"/>
    <mergeCell ref="H83:J83"/>
    <mergeCell ref="H85:H86"/>
    <mergeCell ref="I85:I86"/>
    <mergeCell ref="J85:J86"/>
    <mergeCell ref="B87:C87"/>
    <mergeCell ref="B88:C88"/>
    <mergeCell ref="D88:G88"/>
    <mergeCell ref="B89:C89"/>
    <mergeCell ref="D89:G89"/>
    <mergeCell ref="B90:C90"/>
    <mergeCell ref="D90:G90"/>
    <mergeCell ref="D114:G114"/>
    <mergeCell ref="D115:G115"/>
    <mergeCell ref="B92:C92"/>
    <mergeCell ref="D92:G92"/>
    <mergeCell ref="H93:J93"/>
    <mergeCell ref="F96:F97"/>
    <mergeCell ref="H96:H97"/>
    <mergeCell ref="I96:I97"/>
    <mergeCell ref="J96:J97"/>
    <mergeCell ref="H101:J101"/>
    <mergeCell ref="H106:J106"/>
    <mergeCell ref="H110:J110"/>
    <mergeCell ref="H112:H113"/>
    <mergeCell ref="I112:I113"/>
    <mergeCell ref="J112:J113"/>
    <mergeCell ref="D116:G116"/>
    <mergeCell ref="D117:G117"/>
    <mergeCell ref="D118:G118"/>
    <mergeCell ref="D119:G119"/>
    <mergeCell ref="H120:J120"/>
    <mergeCell ref="F123:F124"/>
    <mergeCell ref="H123:H124"/>
    <mergeCell ref="B135:C135"/>
    <mergeCell ref="D135:G135"/>
    <mergeCell ref="H127:J127"/>
    <mergeCell ref="I123:I124"/>
    <mergeCell ref="J123:J124"/>
    <mergeCell ref="H129:J129"/>
    <mergeCell ref="H131:H132"/>
    <mergeCell ref="I131:I132"/>
    <mergeCell ref="J131:J132"/>
    <mergeCell ref="B136:C136"/>
    <mergeCell ref="D136:G136"/>
    <mergeCell ref="B133:C133"/>
    <mergeCell ref="D133:G133"/>
    <mergeCell ref="B134:C134"/>
    <mergeCell ref="D134:G134"/>
    <mergeCell ref="B137:C137"/>
    <mergeCell ref="D137:G137"/>
    <mergeCell ref="B138:C138"/>
    <mergeCell ref="D138:G138"/>
    <mergeCell ref="H139:J139"/>
    <mergeCell ref="F144:F145"/>
    <mergeCell ref="H144:H145"/>
    <mergeCell ref="I144:I145"/>
    <mergeCell ref="J144:J145"/>
    <mergeCell ref="H152:J152"/>
    <mergeCell ref="H157:J157"/>
    <mergeCell ref="F163:F164"/>
    <mergeCell ref="H163:H164"/>
    <mergeCell ref="I163:I164"/>
    <mergeCell ref="J163:J164"/>
    <mergeCell ref="H170:J170"/>
    <mergeCell ref="H175:J175"/>
    <mergeCell ref="F182:F183"/>
    <mergeCell ref="H182:H183"/>
    <mergeCell ref="I182:I183"/>
    <mergeCell ref="J182:J183"/>
    <mergeCell ref="J203:J204"/>
    <mergeCell ref="B205:D205"/>
    <mergeCell ref="E205:G205"/>
    <mergeCell ref="H186:J186"/>
    <mergeCell ref="H191:J191"/>
    <mergeCell ref="H196:J196"/>
    <mergeCell ref="H201:J201"/>
    <mergeCell ref="H203:H204"/>
    <mergeCell ref="I203:I204"/>
    <mergeCell ref="H211:J211"/>
    <mergeCell ref="H222:J222"/>
    <mergeCell ref="B206:D206"/>
    <mergeCell ref="E206:G206"/>
    <mergeCell ref="B207:D207"/>
    <mergeCell ref="E207:G207"/>
    <mergeCell ref="B208:D208"/>
    <mergeCell ref="E208:G208"/>
    <mergeCell ref="B209:D209"/>
    <mergeCell ref="E209:G209"/>
    <mergeCell ref="B210:D210"/>
    <mergeCell ref="E210:G210"/>
  </mergeCells>
  <conditionalFormatting sqref="H23:J24 H26:J26 H31:J31 H98:J100 H125:J126 H146:I147 H166:H169 H184:J185 I165:J169 L26 L31 L165:L169">
    <cfRule type="expression" priority="1" dxfId="3" stopIfTrue="1">
      <formula>NOT(EXACT('4b-Avancement_fusex'!$D23,""))</formula>
    </cfRule>
  </conditionalFormatting>
  <conditionalFormatting sqref="L23:L24 L98:L100 L125:L126 L184:L185 L218:L221">
    <cfRule type="expression" priority="2" dxfId="3" stopIfTrue="1">
      <formula>OR(NOT(EXACT('4b-Avancement_fusex'!#REF!,"")),NOT(EXACT('4b-Avancement_fusex'!#REF!,"")),NOT(EXACT('4b-Avancement_fusex'!#REF!,"")))</formula>
    </cfRule>
  </conditionalFormatting>
  <conditionalFormatting sqref="L25 L127 L186">
    <cfRule type="expression" priority="3" dxfId="3" stopIfTrue="1">
      <formula>AND(OR(NOT(EXACT('4b-Avancement_fusex'!#REF!,"")),NOT(EXACT('4b-Avancement_fusex'!#REF!,"")),NOT(EXACT('4b-Avancement_fusex'!#REF!,""))),OR(NOT(EXACT('4b-Avancement_fusex'!#REF!,"")),NOT(EXACT('4b-Avancement_fusex'!#REF!,"")),NOT(EXACT('4b-Avancement_fusex'!#REF!,""))))</formula>
    </cfRule>
  </conditionalFormatting>
  <conditionalFormatting sqref="L106 L175 L191 L196">
    <cfRule type="expression" priority="4" dxfId="3" stopIfTrue="1">
      <formula>OR(NOT(EXACT('4b-Avancement_fusex'!#REF!,"")),NOT(EXACT('4b-Avancement_fusex'!#REF!,"")),NOT(EXACT('4b-Avancement_fusex'!#REF!,"")))</formula>
    </cfRule>
  </conditionalFormatting>
  <conditionalFormatting sqref="L101">
    <cfRule type="expression" priority="5" dxfId="3" stopIfTrue="1">
      <formula>AND(OR(NOT(EXACT('4b-Avancement_fusex'!#REF!,"")),NOT(EXACT('4b-Avancement_fusex'!#REF!,"")),NOT(EXACT('4b-Avancement_fusex'!#REF!,""))),OR(NOT(EXACT('4b-Avancement_fusex'!#REF!,"")),NOT(EXACT('4b-Avancement_fusex'!#REF!,"")),NOT(EXACT('4b-Avancement_fusex'!#REF!,""))),OR(NOT(EXACT('4b-Avancement_fusex'!#REF!,"")),NOT(EXACT('4b-Avancement_fusex'!#REF!,"")),NOT(EXACT('4b-Avancement_fusex'!#REF!,""))))</formula>
    </cfRule>
  </conditionalFormatting>
  <conditionalFormatting sqref="L222">
    <cfRule type="expression" priority="6" dxfId="3" stopIfTrue="1">
      <formula>AND(NOT(EXACT('4b-Avancement_fusex'!#REF!,"")),NOT(EXACT('4b-Avancement_fusex'!#REF!,"")),NOT(EXACT('4b-Avancement_fusex'!#REF!,"")),NOT(EXACT('4b-Avancement_fusex'!#REF!,"")))</formula>
    </cfRule>
  </conditionalFormatting>
  <conditionalFormatting sqref="L170">
    <cfRule type="expression" priority="7" dxfId="3" stopIfTrue="1">
      <formula>AND(NOT(EXACT('4b-Avancement_fusex'!$L$165,"")),NOT(EXACT('4b-Avancement_fusex'!$L$166,"")),NOT(EXACT('4b-Avancement_fusex'!$L$167,"")),NOT(EXACT('4b-Avancement_fusex'!$L$168,"")),NOT(EXACT('4b-Avancement_fusex'!$L$169,"")))</formula>
    </cfRule>
  </conditionalFormatting>
  <conditionalFormatting sqref="B114:D114">
    <cfRule type="expression" priority="8" dxfId="3" stopIfTrue="1">
      <formula>AND(NOT(EXACT('4b-Avancement_fusex'!$H$110,"")),'4b-Avancement_fusex'!$H$110&lt;1)</formula>
    </cfRule>
  </conditionalFormatting>
  <conditionalFormatting sqref="B115:D115">
    <cfRule type="expression" priority="9" dxfId="3" stopIfTrue="1">
      <formula>AND(NOT(EXACT('4b-Avancement_fusex'!$H$110,"")),'4b-Avancement_fusex'!$H$110&lt;2)</formula>
    </cfRule>
  </conditionalFormatting>
  <conditionalFormatting sqref="B116:D116">
    <cfRule type="expression" priority="10" dxfId="3" stopIfTrue="1">
      <formula>AND(NOT(EXACT('4b-Avancement_fusex'!$H$110,"")),'4b-Avancement_fusex'!$H$110&lt;3)</formula>
    </cfRule>
  </conditionalFormatting>
  <conditionalFormatting sqref="B117:D117">
    <cfRule type="expression" priority="11" dxfId="3" stopIfTrue="1">
      <formula>AND(NOT(EXACT('4b-Avancement_fusex'!$H$110,"")),'4b-Avancement_fusex'!$H$110&lt;4)</formula>
    </cfRule>
  </conditionalFormatting>
  <conditionalFormatting sqref="B118:D118">
    <cfRule type="expression" priority="12" dxfId="3" stopIfTrue="1">
      <formula>AND(NOT(EXACT('4b-Avancement_fusex'!$H$110,"")),'4b-Avancement_fusex'!$H$110&lt;5)</formula>
    </cfRule>
  </conditionalFormatting>
  <conditionalFormatting sqref="B119:D119">
    <cfRule type="expression" priority="13" dxfId="3" stopIfTrue="1">
      <formula>AND(NOT(EXACT('4b-Avancement_fusex'!$H$110,"")),'4b-Avancement_fusex'!$H$110&lt;6)</formula>
    </cfRule>
  </conditionalFormatting>
  <conditionalFormatting sqref="H114:J114">
    <cfRule type="expression" priority="14" dxfId="27" stopIfTrue="1">
      <formula>AND(NOT(EXACT('4b-Avancement_fusex'!$H$110,"")),'4b-Avancement_fusex'!$H$110&lt;1)</formula>
    </cfRule>
  </conditionalFormatting>
  <conditionalFormatting sqref="H115:J115">
    <cfRule type="expression" priority="15" dxfId="27" stopIfTrue="1">
      <formula>AND(NOT(EXACT('4b-Avancement_fusex'!$H$110,"")),'4b-Avancement_fusex'!$H$110&lt;2)</formula>
    </cfRule>
  </conditionalFormatting>
  <conditionalFormatting sqref="H116:J116">
    <cfRule type="expression" priority="16" dxfId="27" stopIfTrue="1">
      <formula>AND(NOT(EXACT('4b-Avancement_fusex'!$H$110,"")),'4b-Avancement_fusex'!$H$110&lt;3)</formula>
    </cfRule>
  </conditionalFormatting>
  <conditionalFormatting sqref="H117:J117">
    <cfRule type="expression" priority="17" dxfId="27" stopIfTrue="1">
      <formula>AND(NOT(EXACT('4b-Avancement_fusex'!$H$110,"")),'4b-Avancement_fusex'!$H$110&lt;4)</formula>
    </cfRule>
  </conditionalFormatting>
  <conditionalFormatting sqref="H118:J118">
    <cfRule type="expression" priority="18" dxfId="27" stopIfTrue="1">
      <formula>AND(NOT(EXACT('4b-Avancement_fusex'!$H$110,"")),'4b-Avancement_fusex'!$H$110&lt;5)</formula>
    </cfRule>
  </conditionalFormatting>
  <conditionalFormatting sqref="H119:J119">
    <cfRule type="expression" priority="19" dxfId="27" stopIfTrue="1">
      <formula>AND(NOT(EXACT('4b-Avancement_fusex'!$H$110,"")),'4b-Avancement_fusex'!$H$110&lt;6)</formula>
    </cfRule>
  </conditionalFormatting>
  <conditionalFormatting sqref="K114:L119 L120">
    <cfRule type="expression" priority="20" dxfId="3" stopIfTrue="1">
      <formula>NOT(EXACT('4b-Avancement_fusex'!$H$110,""))</formula>
    </cfRule>
  </conditionalFormatting>
  <conditionalFormatting sqref="B133 D133">
    <cfRule type="expression" priority="21" dxfId="3" stopIfTrue="1">
      <formula>AND(NOT(EXACT('4b-Avancement_fusex'!$H$129,"")),'4b-Avancement_fusex'!$H$129&lt;1)</formula>
    </cfRule>
  </conditionalFormatting>
  <conditionalFormatting sqref="B134 D134">
    <cfRule type="expression" priority="22" dxfId="3" stopIfTrue="1">
      <formula>AND(NOT(EXACT('4b-Avancement_fusex'!$H$129,"")),'4b-Avancement_fusex'!$H$129&lt;2)</formula>
    </cfRule>
  </conditionalFormatting>
  <conditionalFormatting sqref="B136 D136">
    <cfRule type="expression" priority="23" dxfId="3" stopIfTrue="1">
      <formula>AND(NOT(EXACT('4b-Avancement_fusex'!$H$129,"")),'4b-Avancement_fusex'!$H$129&lt;4)</formula>
    </cfRule>
  </conditionalFormatting>
  <conditionalFormatting sqref="B135 D135">
    <cfRule type="expression" priority="24" dxfId="3" stopIfTrue="1">
      <formula>AND(NOT(EXACT('4b-Avancement_fusex'!$H$129,"")),'4b-Avancement_fusex'!$H$129&lt;3)</formula>
    </cfRule>
  </conditionalFormatting>
  <conditionalFormatting sqref="D137">
    <cfRule type="expression" priority="25" dxfId="3" stopIfTrue="1">
      <formula>AND(NOT(EXACT('4b-Avancement_fusex'!$H$129,"")),'4b-Avancement_fusex'!$H$129&lt;5)</formula>
    </cfRule>
  </conditionalFormatting>
  <conditionalFormatting sqref="H133:J133">
    <cfRule type="expression" priority="26" dxfId="27" stopIfTrue="1">
      <formula>AND(NOT(EXACT('4b-Avancement_fusex'!$H$129,"")),'4b-Avancement_fusex'!$H$129&lt;1)</formula>
    </cfRule>
  </conditionalFormatting>
  <conditionalFormatting sqref="H134:J134">
    <cfRule type="expression" priority="27" dxfId="27" stopIfTrue="1">
      <formula>AND(NOT(EXACT('4b-Avancement_fusex'!$H$129,"")),'4b-Avancement_fusex'!$H$129&lt;2)</formula>
    </cfRule>
  </conditionalFormatting>
  <conditionalFormatting sqref="H135:J135">
    <cfRule type="expression" priority="28" dxfId="27" stopIfTrue="1">
      <formula>AND(NOT(EXACT('4b-Avancement_fusex'!$H$129,"")),'4b-Avancement_fusex'!$H$129&lt;3)</formula>
    </cfRule>
  </conditionalFormatting>
  <conditionalFormatting sqref="H136:J136">
    <cfRule type="expression" priority="29" dxfId="27" stopIfTrue="1">
      <formula>AND(NOT(EXACT('4b-Avancement_fusex'!$H$129,"")),'4b-Avancement_fusex'!$H$129&lt;4)</formula>
    </cfRule>
  </conditionalFormatting>
  <conditionalFormatting sqref="H137:J137">
    <cfRule type="expression" priority="30" dxfId="27" stopIfTrue="1">
      <formula>AND(NOT(EXACT('4b-Avancement_fusex'!$H$129,"")),'4b-Avancement_fusex'!$H$129&lt;5)</formula>
    </cfRule>
  </conditionalFormatting>
  <conditionalFormatting sqref="K133:L138 L139">
    <cfRule type="expression" priority="31" dxfId="3" stopIfTrue="1">
      <formula>NOT(EXACT('4b-Avancement_fusex'!$H$129,""))</formula>
    </cfRule>
  </conditionalFormatting>
  <conditionalFormatting sqref="A151:G151 A156">
    <cfRule type="expression" priority="32" dxfId="3" stopIfTrue="1">
      <formula>NOT(EXACT('4b-Avancement_fusex'!$H$146,""))</formula>
    </cfRule>
  </conditionalFormatting>
  <conditionalFormatting sqref="H151:J151 L152">
    <cfRule type="expression" priority="33" dxfId="3" stopIfTrue="1">
      <formula>NOT(EXACT('4b-Avancement_fusex'!$H$146,""))</formula>
    </cfRule>
  </conditionalFormatting>
  <conditionalFormatting sqref="B156:G156">
    <cfRule type="expression" priority="34" dxfId="3" stopIfTrue="1">
      <formula>NOT(EXACT('4b-Avancement_fusex'!$H$147,""))</formula>
    </cfRule>
  </conditionalFormatting>
  <conditionalFormatting sqref="H156:J156 L157">
    <cfRule type="expression" priority="35" dxfId="3" stopIfTrue="1">
      <formula>NOT(EXACT('4b-Avancement_fusex'!$H$147,""))</formula>
    </cfRule>
  </conditionalFormatting>
  <conditionalFormatting sqref="K205:L210 L211">
    <cfRule type="expression" priority="36" dxfId="3" stopIfTrue="1">
      <formula>NOT(EXACT('4b-Avancement_fusex'!$H$201,""))</formula>
    </cfRule>
  </conditionalFormatting>
  <conditionalFormatting sqref="H205:J205">
    <cfRule type="expression" priority="37" dxfId="27" stopIfTrue="1">
      <formula>AND(NOT(EXACT('4b-Avancement_fusex'!$H$201,"")),'4b-Avancement_fusex'!$H$201&lt;1)</formula>
    </cfRule>
  </conditionalFormatting>
  <conditionalFormatting sqref="H206:J206">
    <cfRule type="expression" priority="38" dxfId="27" stopIfTrue="1">
      <formula>AND(NOT(EXACT('4b-Avancement_fusex'!$H$201,"")),'4b-Avancement_fusex'!$H$201&lt;2)</formula>
    </cfRule>
  </conditionalFormatting>
  <conditionalFormatting sqref="B205 E205">
    <cfRule type="expression" priority="39" dxfId="3" stopIfTrue="1">
      <formula>AND(NOT(EXACT('4b-Avancement_fusex'!$H$201,"")),'4b-Avancement_fusex'!$H$201&lt;1)</formula>
    </cfRule>
  </conditionalFormatting>
  <conditionalFormatting sqref="B206 E206">
    <cfRule type="expression" priority="40" dxfId="3" stopIfTrue="1">
      <formula>AND(NOT(EXACT('4b-Avancement_fusex'!$H$201,"")),'4b-Avancement_fusex'!$H$201&lt;2)</formula>
    </cfRule>
  </conditionalFormatting>
  <conditionalFormatting sqref="K87:L92 L39 L47 L55 L63 L71 L93">
    <cfRule type="expression" priority="41" dxfId="3" stopIfTrue="1">
      <formula>NOT(EXACT('4b-Avancement_fusex'!$H$83,""))</formula>
    </cfRule>
  </conditionalFormatting>
  <conditionalFormatting sqref="B88 D88">
    <cfRule type="expression" priority="42" dxfId="3" stopIfTrue="1">
      <formula>AND(NOT(EXACT('4b-Avancement_fusex'!$H$83,"")),'4b-Avancement_fusex'!$H$83&lt;2)</formula>
    </cfRule>
  </conditionalFormatting>
  <conditionalFormatting sqref="B89 D89">
    <cfRule type="expression" priority="43" dxfId="3" stopIfTrue="1">
      <formula>AND(NOT(EXACT('4b-Avancement_fusex'!$H$83,"")),'4b-Avancement_fusex'!$H$83&lt;3)</formula>
    </cfRule>
  </conditionalFormatting>
  <conditionalFormatting sqref="B87 D87">
    <cfRule type="expression" priority="44" dxfId="3" stopIfTrue="1">
      <formula>AND(NOT(EXACT('4b-Avancement_fusex'!$H$83,"")),'4b-Avancement_fusex'!$H$83&lt;1)</formula>
    </cfRule>
  </conditionalFormatting>
  <conditionalFormatting sqref="H87:J87">
    <cfRule type="expression" priority="45" dxfId="27" stopIfTrue="1">
      <formula>AND(NOT(EXACT('4b-Avancement_fusex'!$H$83,"")),'4b-Avancement_fusex'!$H$83&lt;1)</formula>
    </cfRule>
  </conditionalFormatting>
  <conditionalFormatting sqref="H88:J88">
    <cfRule type="expression" priority="46" dxfId="27" stopIfTrue="1">
      <formula>AND(NOT(EXACT('4b-Avancement_fusex'!$H$83,"")),'4b-Avancement_fusex'!$H$83&lt;2)</formula>
    </cfRule>
  </conditionalFormatting>
  <conditionalFormatting sqref="H89:J89">
    <cfRule type="expression" priority="47" dxfId="27" stopIfTrue="1">
      <formula>AND(NOT(EXACT('4b-Avancement_fusex'!$H$83,"")),'4b-Avancement_fusex'!$H$83&lt;3)</formula>
    </cfRule>
  </conditionalFormatting>
  <conditionalFormatting sqref="B39 D39 H40:J45">
    <cfRule type="expression" priority="48" dxfId="3" stopIfTrue="1">
      <formula>AND(NOT(EXACT('4b-Avancement_fusex'!$H$27,"")),'4b-Avancement_fusex'!$H$27&lt;2)</formula>
    </cfRule>
  </conditionalFormatting>
  <conditionalFormatting sqref="B31 D31 H32:J37">
    <cfRule type="expression" priority="49" dxfId="3" stopIfTrue="1">
      <formula>AND(NOT(EXACT('4b-Avancement_fusex'!$H$27,"")),'4b-Avancement_fusex'!$H$27&lt;1)</formula>
    </cfRule>
  </conditionalFormatting>
  <conditionalFormatting sqref="K32:K37 K48:K53 K56:K61 K64:K69 K72:K77">
    <cfRule type="expression" priority="50" dxfId="27" stopIfTrue="1">
      <formula>NOT(EXACT('4b-Avancement_fusex'!$H$27,""))</formula>
    </cfRule>
  </conditionalFormatting>
  <conditionalFormatting sqref="L32:L37 L40:L45 L48:L53 L56:L61 L64:L69 L72:L78">
    <cfRule type="expression" priority="51" dxfId="3" stopIfTrue="1">
      <formula>NOT(EXACT('4b-Avancement_fusex'!$H$27,""))</formula>
    </cfRule>
  </conditionalFormatting>
  <conditionalFormatting sqref="D8:G8">
    <cfRule type="cellIs" priority="52" dxfId="0" operator="equal" stopIfTrue="1">
      <formula>"Sélectionner …"</formula>
    </cfRule>
  </conditionalFormatting>
  <conditionalFormatting sqref="B207:G207">
    <cfRule type="expression" priority="53" dxfId="3" stopIfTrue="1">
      <formula>AND(NOT(EXACT('4b-Avancement_fusex'!$H$201,"")),'4b-Avancement_fusex'!$H$201&lt;3)</formula>
    </cfRule>
  </conditionalFormatting>
  <conditionalFormatting sqref="B208:G208">
    <cfRule type="expression" priority="54" dxfId="3" stopIfTrue="1">
      <formula>AND(NOT(EXACT('4b-Avancement_fusex'!$H$201,"")),'4b-Avancement_fusex'!$H$201&lt;4)</formula>
    </cfRule>
  </conditionalFormatting>
  <conditionalFormatting sqref="B209:G209">
    <cfRule type="expression" priority="55" dxfId="3" stopIfTrue="1">
      <formula>AND(NOT(EXACT('4b-Avancement_fusex'!$H$201,"")),'4b-Avancement_fusex'!$H$201&lt;5)</formula>
    </cfRule>
  </conditionalFormatting>
  <conditionalFormatting sqref="B210:G210">
    <cfRule type="expression" priority="56" dxfId="3" stopIfTrue="1">
      <formula>AND(NOT(EXACT('4b-Avancement_fusex'!$H$201,"")),'4b-Avancement_fusex'!$H$201&lt;6)</formula>
    </cfRule>
  </conditionalFormatting>
  <conditionalFormatting sqref="H210:J210">
    <cfRule type="expression" priority="57" dxfId="27" stopIfTrue="1">
      <formula>AND(NOT(EXACT('4b-Avancement_fusex'!$H$201,"")),'4b-Avancement_fusex'!$H$201&lt;6)</formula>
    </cfRule>
  </conditionalFormatting>
  <conditionalFormatting sqref="H209:J209">
    <cfRule type="expression" priority="58" dxfId="27" stopIfTrue="1">
      <formula>AND(NOT(EXACT('4b-Avancement_fusex'!$H$201,"")),'4b-Avancement_fusex'!$H$201&lt;5)</formula>
    </cfRule>
  </conditionalFormatting>
  <conditionalFormatting sqref="H208:J208">
    <cfRule type="expression" priority="59" dxfId="27" stopIfTrue="1">
      <formula>AND(NOT(EXACT('4b-Avancement_fusex'!$H$201,"")),'4b-Avancement_fusex'!$H$201&lt;4)</formula>
    </cfRule>
  </conditionalFormatting>
  <conditionalFormatting sqref="H207:J207">
    <cfRule type="expression" priority="60" dxfId="27" stopIfTrue="1">
      <formula>AND(NOT(EXACT('4b-Avancement_fusex'!$H$201,"")),'4b-Avancement_fusex'!$H$201&lt;3)</formula>
    </cfRule>
  </conditionalFormatting>
  <conditionalFormatting sqref="H165">
    <cfRule type="expression" priority="61" dxfId="3" stopIfTrue="1">
      <formula>NOT(EXACT('4b-Avancement_fusex'!$D165,""))</formula>
    </cfRule>
  </conditionalFormatting>
  <conditionalFormatting sqref="B47:G47 C48:J53">
    <cfRule type="expression" priority="62" dxfId="3" stopIfTrue="1">
      <formula>AND(NOT(EXACT('4b-Avancement_fusex'!$H$27,"")),'4b-Avancement_fusex'!$H$27&lt;3)</formula>
    </cfRule>
  </conditionalFormatting>
  <conditionalFormatting sqref="B55:G55 C56:J61">
    <cfRule type="expression" priority="63" dxfId="3" stopIfTrue="1">
      <formula>AND(NOT(EXACT('4b-Avancement_fusex'!$H$27,"")),'4b-Avancement_fusex'!$H$27&lt;4)</formula>
    </cfRule>
  </conditionalFormatting>
  <conditionalFormatting sqref="B63:G63 C64:J69">
    <cfRule type="expression" priority="64" dxfId="3" stopIfTrue="1">
      <formula>AND(NOT(EXACT('4b-Avancement_fusex'!$H$27,"")),'4b-Avancement_fusex'!$H$27&lt;5)</formula>
    </cfRule>
  </conditionalFormatting>
  <conditionalFormatting sqref="B71:G71 C72:J77">
    <cfRule type="expression" priority="65" dxfId="3" stopIfTrue="1">
      <formula>AND(NOT(EXACT('4b-Avancement_fusex'!$H$27,"")),'4b-Avancement_fusex'!$H$27&lt;6)</formula>
    </cfRule>
  </conditionalFormatting>
  <conditionalFormatting sqref="K40:K45">
    <cfRule type="expression" priority="66" dxfId="27" stopIfTrue="1">
      <formula>NOT(EXACT('4b-Avancement_fusex'!$H$27,""))</formula>
    </cfRule>
  </conditionalFormatting>
  <conditionalFormatting sqref="C40:G45">
    <cfRule type="expression" priority="67" dxfId="3" stopIfTrue="1">
      <formula>AND(NOT(EXACT('4b-Avancement_fusex'!$H$27,"")),'4b-Avancement_fusex'!$H$27&lt;2)</formula>
    </cfRule>
  </conditionalFormatting>
  <conditionalFormatting sqref="B92:G92">
    <cfRule type="expression" priority="68" dxfId="3" stopIfTrue="1">
      <formula>AND(NOT(EXACT('4b-Avancement_fusex'!$H$83,"")),'4b-Avancement_fusex'!$H$83&lt;6)</formula>
    </cfRule>
  </conditionalFormatting>
  <conditionalFormatting sqref="B91:G91">
    <cfRule type="expression" priority="69" dxfId="3" stopIfTrue="1">
      <formula>AND(NOT(EXACT('4b-Avancement_fusex'!$H$83,"")),'4b-Avancement_fusex'!$H$83&lt;5)</formula>
    </cfRule>
  </conditionalFormatting>
  <conditionalFormatting sqref="D90:G90">
    <cfRule type="expression" priority="70" dxfId="3" stopIfTrue="1">
      <formula>AND(NOT(EXACT('4b-Avancement_fusex'!$H$83,"")),'4b-Avancement_fusex'!$H$83&lt;4)</formula>
    </cfRule>
  </conditionalFormatting>
  <conditionalFormatting sqref="H91:J91">
    <cfRule type="expression" priority="71" dxfId="27" stopIfTrue="1">
      <formula>AND(NOT(EXACT('4b-Avancement_fusex'!$H$83,"")),'4b-Avancement_fusex'!$H$83&lt;5)</formula>
    </cfRule>
  </conditionalFormatting>
  <conditionalFormatting sqref="H90:J90">
    <cfRule type="expression" priority="72" dxfId="27" stopIfTrue="1">
      <formula>AND(NOT(EXACT('4b-Avancement_fusex'!$H$83,"")),'4b-Avancement_fusex'!$H$83&lt;4)</formula>
    </cfRule>
  </conditionalFormatting>
  <conditionalFormatting sqref="H92:J92">
    <cfRule type="expression" priority="73" dxfId="27" stopIfTrue="1">
      <formula>AND(NOT(EXACT('4b-Avancement_fusex'!$H$83,"")),'4b-Avancement_fusex'!$H$83&lt;6)</formula>
    </cfRule>
  </conditionalFormatting>
  <conditionalFormatting sqref="B138:G138">
    <cfRule type="expression" priority="74" dxfId="3" stopIfTrue="1">
      <formula>AND(NOT(EXACT('4b-Avancement_fusex'!$H$129,"")),'4b-Avancement_fusex'!$H$129&lt;6)</formula>
    </cfRule>
  </conditionalFormatting>
  <conditionalFormatting sqref="H138:J138">
    <cfRule type="expression" priority="75" dxfId="27" stopIfTrue="1">
      <formula>AND(NOT(EXACT('4b-Avancement_fusex'!$H$129,"")),'4b-Avancement_fusex'!$H$129&lt;6)</formula>
    </cfRule>
  </conditionalFormatting>
  <conditionalFormatting sqref="B137:C137">
    <cfRule type="expression" priority="76" dxfId="3" stopIfTrue="1">
      <formula>AND(NOT(EXACT('4b-Avancement_fusex'!$H$129,"")),'4b-Avancement_fusex'!$H$129&lt;5)</formula>
    </cfRule>
  </conditionalFormatting>
  <conditionalFormatting sqref="B90:C90">
    <cfRule type="expression" priority="77" dxfId="3" stopIfTrue="1">
      <formula>AND(NOT(EXACT('4b-Avancement_fusex'!$H$83,"")),'4b-Avancement_fusex'!$H$83&lt;4)</formula>
    </cfRule>
  </conditionalFormatting>
  <printOptions horizontalCentered="1"/>
  <pageMargins left="0.7875" right="0.7875" top="0.4722222222222222" bottom="0.4722222222222222" header="0.5118055555555555" footer="0.5118055555555555"/>
  <pageSetup horizontalDpi="300" verticalDpi="300" orientation="portrait" paperSize="9" scale="70"/>
  <rowBreaks count="3" manualBreakCount="3">
    <brk id="79" max="255" man="1"/>
    <brk id="107" max="255" man="1"/>
    <brk id="17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L225"/>
  <sheetViews>
    <sheetView showGridLines="0" zoomScaleSheetLayoutView="100" workbookViewId="0" topLeftCell="A64">
      <selection activeCell="H21" sqref="H21:H22"/>
    </sheetView>
  </sheetViews>
  <sheetFormatPr defaultColWidth="11.57421875" defaultRowHeight="12.75"/>
  <cols>
    <col min="1" max="1" width="14.421875" style="39" customWidth="1"/>
    <col min="2" max="2" width="5.00390625" style="39" customWidth="1"/>
    <col min="3" max="3" width="9.28125" style="39" customWidth="1"/>
    <col min="4" max="4" width="10.8515625" style="39" customWidth="1"/>
    <col min="5" max="5" width="2.7109375" style="39" customWidth="1"/>
    <col min="6" max="6" width="17.28125" style="39" customWidth="1"/>
    <col min="7" max="7" width="3.140625" style="39" customWidth="1"/>
    <col min="8" max="9" width="3.7109375" style="39" customWidth="1"/>
    <col min="10" max="10" width="4.140625" style="39" customWidth="1"/>
    <col min="11" max="11" width="7.140625" style="39" customWidth="1"/>
    <col min="12" max="12" width="7.00390625" style="39" customWidth="1"/>
    <col min="13" max="13" width="8.8515625" style="39" customWidth="1"/>
    <col min="14" max="14" width="9.140625" style="39" customWidth="1"/>
    <col min="15" max="15" width="1.421875" style="39" customWidth="1"/>
    <col min="16" max="16" width="15.28125" style="39" customWidth="1"/>
    <col min="17" max="17" width="6.421875" style="39" customWidth="1"/>
    <col min="18" max="18" width="2.421875" style="39" customWidth="1"/>
    <col min="19" max="16384" width="11.421875" style="39" customWidth="1"/>
  </cols>
  <sheetData>
    <row r="1" spans="1:17" ht="12">
      <c r="A1" s="46"/>
      <c r="Q1" s="310"/>
    </row>
    <row r="2" spans="1:17" ht="18">
      <c r="A2" s="565" t="s">
        <v>438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ht="12">
      <c r="Q3" s="310"/>
    </row>
    <row r="4" spans="1:17" ht="18">
      <c r="A4" s="565" t="str">
        <f>ANNEE</f>
        <v>2011-2012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</row>
    <row r="5" ht="12">
      <c r="Q5" s="310"/>
    </row>
    <row r="6" spans="1:17" ht="16.5">
      <c r="A6" s="566" t="s">
        <v>439</v>
      </c>
      <c r="B6" s="566"/>
      <c r="C6" s="566"/>
      <c r="D6" s="591">
        <f>IF('1-Registration'!B14=Source!A17,'1-Registration'!B12,"")</f>
      </c>
      <c r="E6" s="591"/>
      <c r="F6" s="591"/>
      <c r="G6" s="591"/>
      <c r="H6" s="566" t="s">
        <v>440</v>
      </c>
      <c r="I6" s="566"/>
      <c r="J6" s="566"/>
      <c r="K6" s="566"/>
      <c r="L6" s="566"/>
      <c r="M6" s="566"/>
      <c r="N6" s="591"/>
      <c r="O6" s="591"/>
      <c r="P6" s="591"/>
      <c r="Q6" s="118"/>
    </row>
    <row r="7" spans="1:17" ht="1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119"/>
    </row>
    <row r="8" spans="1:17" ht="16.5">
      <c r="A8" s="566" t="s">
        <v>441</v>
      </c>
      <c r="B8" s="566"/>
      <c r="C8" s="566"/>
      <c r="D8" s="568" t="s">
        <v>574</v>
      </c>
      <c r="E8" s="568"/>
      <c r="F8" s="568"/>
      <c r="G8" s="568"/>
      <c r="H8" s="566" t="s">
        <v>442</v>
      </c>
      <c r="I8" s="566"/>
      <c r="J8" s="566"/>
      <c r="K8" s="566"/>
      <c r="L8" s="566"/>
      <c r="M8" s="566"/>
      <c r="N8" s="120">
        <f>(N18+N76+N103+N137+N155+N176+N196+N211)/100</f>
        <v>0</v>
      </c>
      <c r="O8" s="121"/>
      <c r="P8" s="122"/>
      <c r="Q8" s="118"/>
    </row>
    <row r="9" spans="1:17" ht="13.5" customHeight="1">
      <c r="A9" s="124"/>
      <c r="B9" s="125"/>
      <c r="C9" s="125"/>
      <c r="D9" s="125"/>
      <c r="E9" s="125"/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</row>
    <row r="10" spans="1:17" ht="13.5" customHeight="1">
      <c r="A10" s="563" t="s">
        <v>444</v>
      </c>
      <c r="B10" s="563"/>
      <c r="C10" s="130">
        <f>N18</f>
        <v>0</v>
      </c>
      <c r="D10" s="129"/>
      <c r="E10" s="129"/>
      <c r="F10" s="129"/>
      <c r="G10" s="563" t="s">
        <v>447</v>
      </c>
      <c r="H10" s="563"/>
      <c r="I10" s="563"/>
      <c r="J10" s="563"/>
      <c r="K10" s="130">
        <f>N155</f>
        <v>0</v>
      </c>
      <c r="L10" s="127"/>
      <c r="M10" s="127"/>
      <c r="N10" s="127"/>
      <c r="O10" s="127"/>
      <c r="P10" s="127"/>
      <c r="Q10" s="127"/>
    </row>
    <row r="11" spans="1:17" ht="13.5" customHeight="1">
      <c r="A11" s="563" t="s">
        <v>618</v>
      </c>
      <c r="B11" s="563"/>
      <c r="C11" s="130">
        <f>N76</f>
        <v>0</v>
      </c>
      <c r="D11" s="129"/>
      <c r="E11" s="129"/>
      <c r="F11" s="129"/>
      <c r="G11" s="563" t="s">
        <v>449</v>
      </c>
      <c r="H11" s="563"/>
      <c r="I11" s="563"/>
      <c r="J11" s="563"/>
      <c r="K11" s="130">
        <f>N176</f>
        <v>0</v>
      </c>
      <c r="L11" s="127"/>
      <c r="M11" s="127"/>
      <c r="N11" s="127"/>
      <c r="O11" s="127"/>
      <c r="P11" s="127"/>
      <c r="Q11" s="127"/>
    </row>
    <row r="12" spans="1:17" ht="13.5" customHeight="1">
      <c r="A12" s="563" t="s">
        <v>448</v>
      </c>
      <c r="B12" s="563"/>
      <c r="C12" s="128">
        <f>N103</f>
        <v>0</v>
      </c>
      <c r="G12" s="563" t="s">
        <v>619</v>
      </c>
      <c r="H12" s="563"/>
      <c r="I12" s="563"/>
      <c r="J12" s="563"/>
      <c r="K12" s="128">
        <f>N196</f>
        <v>0</v>
      </c>
      <c r="L12" s="131"/>
      <c r="M12" s="131"/>
      <c r="N12" s="131"/>
      <c r="O12" s="131"/>
      <c r="P12" s="132"/>
      <c r="Q12" s="311"/>
    </row>
    <row r="13" spans="1:17" ht="13.5" customHeight="1">
      <c r="A13" s="563" t="s">
        <v>450</v>
      </c>
      <c r="B13" s="563"/>
      <c r="C13" s="128">
        <f>N137</f>
        <v>0</v>
      </c>
      <c r="G13" s="563" t="s">
        <v>445</v>
      </c>
      <c r="H13" s="563"/>
      <c r="I13" s="563"/>
      <c r="J13" s="563"/>
      <c r="K13" s="128">
        <f>N211</f>
        <v>0</v>
      </c>
      <c r="P13" s="46"/>
      <c r="Q13" s="312"/>
    </row>
    <row r="14" spans="1:17" ht="13.5" customHeight="1">
      <c r="A14" s="134"/>
      <c r="B14" s="134"/>
      <c r="G14" s="135"/>
      <c r="H14" s="135"/>
      <c r="I14" s="135"/>
      <c r="J14" s="135"/>
      <c r="K14" s="136"/>
      <c r="P14" s="46"/>
      <c r="Q14" s="48"/>
    </row>
    <row r="15" spans="1:17" ht="13.5" customHeight="1">
      <c r="A15" s="412" t="s">
        <v>451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8"/>
    </row>
    <row r="16" spans="1:17" ht="13.5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  <c r="Q16" s="48"/>
    </row>
    <row r="17" spans="1:17" ht="13.5" customHeight="1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48"/>
    </row>
    <row r="18" spans="1:17" s="256" customFormat="1" ht="15">
      <c r="A18" s="54" t="s">
        <v>444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 t="s">
        <v>577</v>
      </c>
      <c r="N18" s="145">
        <f>IF(AND(NOT(EXACT(L25,"")),NOT(EXACT(L73,""))),(L25+L73)*100,IF(AND(EXACT(L25,""),NOT(EXACT(L73,""))),L73*100,IF(AND(NOT(EXACT(L25,"")),EXACT(L73,"")),L25*100,0)))</f>
        <v>0</v>
      </c>
      <c r="O18" s="55" t="s">
        <v>297</v>
      </c>
      <c r="P18" s="146">
        <f>(K25+K73)*100</f>
        <v>10</v>
      </c>
      <c r="Q18" s="295"/>
    </row>
    <row r="19" spans="1:17" s="256" customFormat="1" ht="12">
      <c r="A19" s="57"/>
      <c r="B19" s="148"/>
      <c r="C19" s="148"/>
      <c r="D19" s="148"/>
      <c r="E19" s="148"/>
      <c r="F19" s="148"/>
      <c r="G19" s="46"/>
      <c r="H19" s="46"/>
      <c r="I19" s="46"/>
      <c r="J19" s="250"/>
      <c r="K19" s="46"/>
      <c r="L19" s="46"/>
      <c r="M19" s="149" t="s">
        <v>452</v>
      </c>
      <c r="N19" s="150"/>
      <c r="O19" s="150"/>
      <c r="P19" s="65"/>
      <c r="Q19" s="313"/>
    </row>
    <row r="20" spans="1:17" ht="12">
      <c r="A20" s="221"/>
      <c r="B20" s="222"/>
      <c r="C20" s="222"/>
      <c r="D20" s="222"/>
      <c r="E20" s="222"/>
      <c r="F20" s="222"/>
      <c r="G20" s="223"/>
      <c r="H20" s="151">
        <v>0</v>
      </c>
      <c r="I20" s="152">
        <v>0.5</v>
      </c>
      <c r="J20" s="152">
        <v>1</v>
      </c>
      <c r="K20" s="223"/>
      <c r="L20" s="67"/>
      <c r="M20" s="201"/>
      <c r="N20" s="202"/>
      <c r="O20" s="202"/>
      <c r="P20" s="65"/>
      <c r="Q20" s="48"/>
    </row>
    <row r="21" spans="1:17" ht="13.5" customHeight="1">
      <c r="A21" s="57"/>
      <c r="B21" s="148"/>
      <c r="C21" s="148"/>
      <c r="D21" s="153"/>
      <c r="E21" s="148"/>
      <c r="F21" s="154"/>
      <c r="G21" s="46"/>
      <c r="H21" s="544" t="s">
        <v>453</v>
      </c>
      <c r="I21" s="544" t="s">
        <v>620</v>
      </c>
      <c r="J21" s="544" t="s">
        <v>455</v>
      </c>
      <c r="K21" s="46"/>
      <c r="L21" s="46"/>
      <c r="M21" s="155" t="s">
        <v>456</v>
      </c>
      <c r="N21" s="156"/>
      <c r="O21" s="156"/>
      <c r="P21" s="65"/>
      <c r="Q21" s="48"/>
    </row>
    <row r="22" spans="1:17" ht="12">
      <c r="A22" s="157" t="s">
        <v>457</v>
      </c>
      <c r="B22" s="148"/>
      <c r="C22" s="148"/>
      <c r="D22" s="158"/>
      <c r="E22" s="159"/>
      <c r="F22" s="160"/>
      <c r="G22" s="161"/>
      <c r="H22" s="544"/>
      <c r="I22" s="544"/>
      <c r="J22" s="544"/>
      <c r="K22" s="162" t="s">
        <v>304</v>
      </c>
      <c r="L22" s="203" t="s">
        <v>458</v>
      </c>
      <c r="M22" s="238" t="s">
        <v>578</v>
      </c>
      <c r="N22" s="239"/>
      <c r="O22" s="239"/>
      <c r="P22" s="65"/>
      <c r="Q22" s="48"/>
    </row>
    <row r="23" spans="1:17" ht="12">
      <c r="A23" s="539" t="s">
        <v>512</v>
      </c>
      <c r="B23" s="539"/>
      <c r="C23" s="539"/>
      <c r="D23" s="539"/>
      <c r="E23" s="539"/>
      <c r="F23" s="539"/>
      <c r="G23" s="539"/>
      <c r="H23" s="208"/>
      <c r="I23" s="208"/>
      <c r="J23" s="208"/>
      <c r="K23" s="224">
        <v>0.02</v>
      </c>
      <c r="L23" s="210">
        <f>IF(AND(EXACT(H23,""),EXACT(I23,""),EXACT(J23,"")),"",IF(NOT(EXACT(J23,"")),IF(NOT(EXACT(K23,"")),K23*$J$20,""),IF(NOT(EXACT(I23,"")),IF(NOT(EXACT(K23,"")),K23*$I$20,""),IF(NOT(EXACT(H23,"")),IF(NOT(EXACT(K23,"")),K23*$H$20,"")))))</f>
      </c>
      <c r="M23" s="251" t="s">
        <v>580</v>
      </c>
      <c r="N23" s="252"/>
      <c r="O23" s="252"/>
      <c r="P23" s="65"/>
      <c r="Q23" s="48"/>
    </row>
    <row r="24" spans="1:17" ht="12">
      <c r="A24" s="539" t="s">
        <v>513</v>
      </c>
      <c r="B24" s="539"/>
      <c r="C24" s="539"/>
      <c r="D24" s="539"/>
      <c r="E24" s="539"/>
      <c r="F24" s="539"/>
      <c r="G24" s="539"/>
      <c r="H24" s="208"/>
      <c r="I24" s="208"/>
      <c r="J24" s="208"/>
      <c r="K24" s="224">
        <v>0.02</v>
      </c>
      <c r="L24" s="210">
        <f>IF(AND(EXACT(H24,""),EXACT(I24,""),EXACT(J24,"")),"",IF(NOT(EXACT(J24,"")),IF(NOT(EXACT(K24,"")),K24*$J$20,""),IF(NOT(EXACT(I24,"")),IF(NOT(EXACT(K24,"")),K24*$I$20,""),IF(NOT(EXACT(H24,"")),IF(NOT(EXACT(K24,"")),K24*$H$20,"")))))</f>
      </c>
      <c r="M24" s="251" t="s">
        <v>582</v>
      </c>
      <c r="N24" s="252"/>
      <c r="O24" s="252"/>
      <c r="P24" s="49"/>
      <c r="Q24" s="48"/>
    </row>
    <row r="25" spans="1:17" ht="12">
      <c r="A25" s="168"/>
      <c r="B25" s="148"/>
      <c r="C25" s="148"/>
      <c r="D25" s="169"/>
      <c r="E25" s="148"/>
      <c r="F25" s="169"/>
      <c r="G25" s="48"/>
      <c r="H25" s="540" t="s">
        <v>296</v>
      </c>
      <c r="I25" s="540"/>
      <c r="J25" s="540"/>
      <c r="K25" s="171">
        <f>SUM(K23:K24)</f>
        <v>0.04</v>
      </c>
      <c r="L25" s="225">
        <f>IF(AND(OR(NOT(EXACT(H23,"")),NOT(EXACT(I23,"")),NOT(EXACT(J23,""))),OR(NOT(EXACT(H24,"")),NOT(EXACT(I24,"")),NOT(EXACT(J24,"")))),SUM(L23:L24),"")</f>
      </c>
      <c r="M25" s="192"/>
      <c r="N25" s="46"/>
      <c r="O25" s="46"/>
      <c r="P25" s="49"/>
      <c r="Q25" s="48"/>
    </row>
    <row r="26" spans="1:19" ht="12">
      <c r="A26" s="157" t="s">
        <v>621</v>
      </c>
      <c r="B26" s="148"/>
      <c r="C26" s="148"/>
      <c r="D26" s="169"/>
      <c r="E26" s="148"/>
      <c r="F26" s="169"/>
      <c r="G26" s="48"/>
      <c r="H26" s="253"/>
      <c r="I26" s="253"/>
      <c r="J26" s="253"/>
      <c r="K26" s="254"/>
      <c r="L26" s="255"/>
      <c r="M26" s="192"/>
      <c r="N26" s="46"/>
      <c r="O26" s="46"/>
      <c r="P26" s="49"/>
      <c r="Q26" s="48"/>
      <c r="S26" s="256"/>
    </row>
    <row r="27" spans="1:17" ht="12">
      <c r="A27" s="539" t="s">
        <v>515</v>
      </c>
      <c r="B27" s="539"/>
      <c r="C27" s="539"/>
      <c r="D27" s="539"/>
      <c r="E27" s="539"/>
      <c r="F27" s="539"/>
      <c r="G27" s="539"/>
      <c r="H27" s="548"/>
      <c r="I27" s="548"/>
      <c r="J27" s="548"/>
      <c r="K27" s="190"/>
      <c r="L27" s="191"/>
      <c r="M27" s="47"/>
      <c r="N27" s="48"/>
      <c r="O27" s="48"/>
      <c r="P27" s="49"/>
      <c r="Q27" s="48"/>
    </row>
    <row r="28" spans="1:17" ht="12">
      <c r="A28" s="193"/>
      <c r="B28" s="161"/>
      <c r="C28" s="161"/>
      <c r="D28" s="161"/>
      <c r="E28" s="161"/>
      <c r="F28" s="161"/>
      <c r="G28" s="194"/>
      <c r="H28" s="195">
        <v>0</v>
      </c>
      <c r="I28" s="196">
        <v>0.75</v>
      </c>
      <c r="J28" s="195">
        <v>1</v>
      </c>
      <c r="K28" s="197"/>
      <c r="L28" s="154"/>
      <c r="M28" s="47"/>
      <c r="N28" s="48"/>
      <c r="O28" s="48"/>
      <c r="P28" s="49"/>
      <c r="Q28" s="48"/>
    </row>
    <row r="29" spans="1:17" ht="13.5" customHeight="1">
      <c r="A29" s="198"/>
      <c r="B29" s="148"/>
      <c r="C29" s="148"/>
      <c r="D29" s="148"/>
      <c r="E29" s="148"/>
      <c r="F29" s="148"/>
      <c r="G29" s="199"/>
      <c r="H29" s="544" t="s">
        <v>453</v>
      </c>
      <c r="I29" s="544" t="s">
        <v>455</v>
      </c>
      <c r="J29" s="544" t="s">
        <v>516</v>
      </c>
      <c r="K29" s="200"/>
      <c r="L29" s="160"/>
      <c r="M29" s="47"/>
      <c r="N29" s="48"/>
      <c r="O29" s="48"/>
      <c r="P29" s="49"/>
      <c r="Q29" s="48"/>
    </row>
    <row r="30" spans="1:17" ht="31.5" customHeight="1">
      <c r="A30" s="198"/>
      <c r="B30" s="257" t="s">
        <v>517</v>
      </c>
      <c r="C30" s="148"/>
      <c r="D30" s="148"/>
      <c r="E30" s="148"/>
      <c r="F30" s="148"/>
      <c r="G30" s="199"/>
      <c r="H30" s="544"/>
      <c r="I30" s="544"/>
      <c r="J30" s="544"/>
      <c r="K30" s="162" t="s">
        <v>304</v>
      </c>
      <c r="L30" s="203" t="s">
        <v>458</v>
      </c>
      <c r="M30" s="155" t="s">
        <v>379</v>
      </c>
      <c r="N30" s="156"/>
      <c r="O30" s="156"/>
      <c r="P30" s="49"/>
      <c r="Q30" s="48"/>
    </row>
    <row r="31" spans="1:17" ht="12">
      <c r="A31" s="204"/>
      <c r="B31" s="581" t="s">
        <v>622</v>
      </c>
      <c r="C31" s="581"/>
      <c r="D31" s="555"/>
      <c r="E31" s="555"/>
      <c r="F31" s="555"/>
      <c r="G31" s="555"/>
      <c r="H31" s="260"/>
      <c r="I31" s="260"/>
      <c r="J31" s="260"/>
      <c r="K31" s="167"/>
      <c r="L31" s="261">
        <f>IF(OR(AND(EXACT(H31,""),EXACT(I31,""),EXACT(J31,"")),EXACT($H$78,"")),"",IF(NOT(EXACT(J31,"")),IF(NOT(EXACT(K31,"")),K31*$J$157,""),IF(NOT(EXACT(I31,"")),IF(NOT(EXACT(K31,"")),K31*$I$157,""),IF(NOT(EXACT(H31,"")),IF(NOT(EXACT(K31,"")),K31*$H$157,"")))))</f>
      </c>
      <c r="M31" s="238" t="s">
        <v>520</v>
      </c>
      <c r="N31" s="239"/>
      <c r="O31" s="239"/>
      <c r="P31" s="65"/>
      <c r="Q31" s="48"/>
    </row>
    <row r="32" spans="1:17" ht="12">
      <c r="A32" s="193"/>
      <c r="C32" s="556" t="s">
        <v>521</v>
      </c>
      <c r="D32" s="556"/>
      <c r="E32" s="556"/>
      <c r="F32" s="556"/>
      <c r="G32" s="556"/>
      <c r="H32" s="208"/>
      <c r="I32" s="208"/>
      <c r="J32" s="208"/>
      <c r="K32" s="209">
        <f aca="true" t="shared" si="0" ref="K32:K37">IF(AND(NOT(EXACT($H$27,"")),$H$27&gt;=1),$K$73/6/$H$27,"")</f>
      </c>
      <c r="L32" s="209">
        <f aca="true" t="shared" si="1" ref="L32:L72">IF(OR(AND(EXACT(H32,""),EXACT(I32,""),EXACT(J32,"")),EXACT($H$27,"")),"",IF(NOT(EXACT(J32,"")),IF(NOT(EXACT(K32,"")),K32*$J$28,""),IF(NOT(EXACT(I32,"")),IF(NOT(EXACT(K32,"")),K32*$I$28,""),IF(NOT(EXACT(H32,"")),IF(NOT(EXACT(K32,"")),K32*$H$28,"")))))</f>
      </c>
      <c r="M32" s="262" t="s">
        <v>522</v>
      </c>
      <c r="N32" s="262"/>
      <c r="O32" s="262"/>
      <c r="P32" s="65"/>
      <c r="Q32" s="48"/>
    </row>
    <row r="33" spans="1:17" ht="12">
      <c r="A33" s="193"/>
      <c r="C33" s="556" t="s">
        <v>523</v>
      </c>
      <c r="D33" s="556"/>
      <c r="E33" s="556"/>
      <c r="F33" s="556"/>
      <c r="G33" s="556"/>
      <c r="H33" s="208"/>
      <c r="I33" s="208"/>
      <c r="J33" s="208"/>
      <c r="K33" s="209">
        <f t="shared" si="0"/>
      </c>
      <c r="L33" s="209">
        <f t="shared" si="1"/>
      </c>
      <c r="M33" s="262" t="s">
        <v>524</v>
      </c>
      <c r="N33" s="262"/>
      <c r="O33" s="262"/>
      <c r="P33" s="65"/>
      <c r="Q33" s="48"/>
    </row>
    <row r="34" spans="1:17" ht="12">
      <c r="A34" s="193"/>
      <c r="B34" s="204"/>
      <c r="C34" s="556" t="s">
        <v>525</v>
      </c>
      <c r="D34" s="556"/>
      <c r="E34" s="556"/>
      <c r="F34" s="556"/>
      <c r="G34" s="556"/>
      <c r="H34" s="208"/>
      <c r="I34" s="208"/>
      <c r="J34" s="208"/>
      <c r="K34" s="209">
        <f t="shared" si="0"/>
      </c>
      <c r="L34" s="209">
        <f t="shared" si="1"/>
      </c>
      <c r="M34" s="262" t="s">
        <v>526</v>
      </c>
      <c r="N34" s="262"/>
      <c r="O34" s="262"/>
      <c r="P34" s="65"/>
      <c r="Q34" s="48"/>
    </row>
    <row r="35" spans="1:17" ht="12">
      <c r="A35" s="193"/>
      <c r="C35" s="556" t="s">
        <v>527</v>
      </c>
      <c r="D35" s="556"/>
      <c r="E35" s="556"/>
      <c r="F35" s="556"/>
      <c r="G35" s="556"/>
      <c r="H35" s="208"/>
      <c r="I35" s="208"/>
      <c r="J35" s="208"/>
      <c r="K35" s="209">
        <f t="shared" si="0"/>
      </c>
      <c r="L35" s="209">
        <f t="shared" si="1"/>
      </c>
      <c r="M35" s="238" t="s">
        <v>528</v>
      </c>
      <c r="N35" s="239"/>
      <c r="O35" s="239"/>
      <c r="P35" s="65"/>
      <c r="Q35" s="48"/>
    </row>
    <row r="36" spans="1:17" ht="12">
      <c r="A36" s="193"/>
      <c r="C36" s="556" t="s">
        <v>529</v>
      </c>
      <c r="D36" s="556"/>
      <c r="E36" s="556"/>
      <c r="F36" s="556"/>
      <c r="G36" s="556"/>
      <c r="H36" s="208"/>
      <c r="I36" s="208"/>
      <c r="J36" s="208"/>
      <c r="K36" s="209">
        <f t="shared" si="0"/>
      </c>
      <c r="L36" s="209">
        <f t="shared" si="1"/>
      </c>
      <c r="M36" s="238" t="s">
        <v>530</v>
      </c>
      <c r="N36" s="239"/>
      <c r="O36" s="239"/>
      <c r="P36" s="65"/>
      <c r="Q36" s="48"/>
    </row>
    <row r="37" spans="1:17" ht="12">
      <c r="A37" s="168"/>
      <c r="B37" s="193"/>
      <c r="C37" s="556" t="s">
        <v>531</v>
      </c>
      <c r="D37" s="556"/>
      <c r="E37" s="556"/>
      <c r="F37" s="556"/>
      <c r="G37" s="556"/>
      <c r="H37" s="208"/>
      <c r="I37" s="208"/>
      <c r="J37" s="208"/>
      <c r="K37" s="209">
        <f t="shared" si="0"/>
      </c>
      <c r="L37" s="209">
        <f t="shared" si="1"/>
      </c>
      <c r="M37" s="238" t="s">
        <v>532</v>
      </c>
      <c r="N37" s="239"/>
      <c r="O37" s="239"/>
      <c r="P37" s="65"/>
      <c r="Q37" s="48"/>
    </row>
    <row r="38" spans="1:17" ht="13.5" customHeight="1">
      <c r="A38" s="168"/>
      <c r="B38" s="595" t="s">
        <v>623</v>
      </c>
      <c r="C38" s="595"/>
      <c r="D38" s="555"/>
      <c r="E38" s="555"/>
      <c r="F38" s="555"/>
      <c r="G38" s="555"/>
      <c r="H38" s="260"/>
      <c r="I38" s="260"/>
      <c r="J38" s="260"/>
      <c r="K38" s="167"/>
      <c r="L38" s="167">
        <f t="shared" si="1"/>
      </c>
      <c r="P38" s="65"/>
      <c r="Q38" s="48"/>
    </row>
    <row r="39" spans="1:17" ht="13.5" customHeight="1">
      <c r="A39" s="168"/>
      <c r="B39" s="67"/>
      <c r="C39" s="586" t="s">
        <v>521</v>
      </c>
      <c r="D39" s="586"/>
      <c r="E39" s="586"/>
      <c r="F39" s="586"/>
      <c r="G39" s="586"/>
      <c r="H39" s="208"/>
      <c r="I39" s="208"/>
      <c r="J39" s="208"/>
      <c r="K39" s="209">
        <f aca="true" t="shared" si="2" ref="K39:K44">IF(AND(NOT(EXACT($H$27,"")),$H$27&gt;=2),$K$73/6/$H$27,"")</f>
      </c>
      <c r="L39" s="209">
        <f t="shared" si="1"/>
      </c>
      <c r="P39" s="263"/>
      <c r="Q39" s="264"/>
    </row>
    <row r="40" spans="1:17" ht="12">
      <c r="A40" s="168"/>
      <c r="B40" s="65"/>
      <c r="C40" s="552" t="s">
        <v>523</v>
      </c>
      <c r="D40" s="552"/>
      <c r="E40" s="552"/>
      <c r="F40" s="552"/>
      <c r="G40" s="552"/>
      <c r="H40" s="208"/>
      <c r="I40" s="208"/>
      <c r="J40" s="208"/>
      <c r="K40" s="209">
        <f t="shared" si="2"/>
      </c>
      <c r="L40" s="209">
        <f t="shared" si="1"/>
      </c>
      <c r="P40" s="65"/>
      <c r="Q40" s="48"/>
    </row>
    <row r="41" spans="1:17" ht="12">
      <c r="A41" s="168"/>
      <c r="B41" s="65"/>
      <c r="C41" s="584" t="s">
        <v>525</v>
      </c>
      <c r="D41" s="584"/>
      <c r="E41" s="584"/>
      <c r="F41" s="584"/>
      <c r="G41" s="584"/>
      <c r="H41" s="208"/>
      <c r="I41" s="208"/>
      <c r="J41" s="208"/>
      <c r="K41" s="209">
        <f t="shared" si="2"/>
      </c>
      <c r="L41" s="209">
        <f t="shared" si="1"/>
      </c>
      <c r="M41" s="155" t="s">
        <v>624</v>
      </c>
      <c r="N41" s="156"/>
      <c r="O41" s="156"/>
      <c r="P41" s="65"/>
      <c r="Q41" s="48"/>
    </row>
    <row r="42" spans="1:17" ht="12.75" customHeight="1">
      <c r="A42" s="168"/>
      <c r="B42" s="65"/>
      <c r="C42" s="552" t="s">
        <v>527</v>
      </c>
      <c r="D42" s="552"/>
      <c r="E42" s="552"/>
      <c r="F42" s="552"/>
      <c r="G42" s="552"/>
      <c r="H42" s="208"/>
      <c r="I42" s="208"/>
      <c r="J42" s="208"/>
      <c r="K42" s="209">
        <f t="shared" si="2"/>
      </c>
      <c r="L42" s="209">
        <f t="shared" si="1"/>
      </c>
      <c r="M42" s="549" t="s">
        <v>534</v>
      </c>
      <c r="N42" s="549"/>
      <c r="O42" s="549"/>
      <c r="P42" s="549"/>
      <c r="Q42" s="48"/>
    </row>
    <row r="43" spans="1:17" ht="12">
      <c r="A43" s="168"/>
      <c r="B43" s="65"/>
      <c r="C43" s="584" t="s">
        <v>529</v>
      </c>
      <c r="D43" s="584"/>
      <c r="E43" s="584"/>
      <c r="F43" s="584"/>
      <c r="G43" s="584"/>
      <c r="H43" s="208"/>
      <c r="I43" s="208"/>
      <c r="J43" s="208"/>
      <c r="K43" s="209">
        <f t="shared" si="2"/>
      </c>
      <c r="L43" s="209">
        <f t="shared" si="1"/>
      </c>
      <c r="M43" s="549"/>
      <c r="N43" s="549"/>
      <c r="O43" s="549"/>
      <c r="P43" s="549"/>
      <c r="Q43" s="48"/>
    </row>
    <row r="44" spans="1:17" ht="12">
      <c r="A44" s="168"/>
      <c r="B44" s="194"/>
      <c r="C44" s="585" t="s">
        <v>531</v>
      </c>
      <c r="D44" s="585"/>
      <c r="E44" s="585"/>
      <c r="F44" s="585"/>
      <c r="G44" s="585"/>
      <c r="H44" s="208"/>
      <c r="I44" s="208"/>
      <c r="J44" s="208"/>
      <c r="K44" s="209">
        <f t="shared" si="2"/>
      </c>
      <c r="L44" s="209">
        <f t="shared" si="1"/>
      </c>
      <c r="M44" s="549"/>
      <c r="N44" s="549"/>
      <c r="O44" s="549"/>
      <c r="P44" s="549"/>
      <c r="Q44" s="48"/>
    </row>
    <row r="45" spans="1:17" ht="13.5" customHeight="1">
      <c r="A45" s="168"/>
      <c r="B45" s="595" t="s">
        <v>625</v>
      </c>
      <c r="C45" s="595"/>
      <c r="D45" s="555"/>
      <c r="E45" s="555"/>
      <c r="F45" s="555"/>
      <c r="G45" s="555"/>
      <c r="H45" s="260"/>
      <c r="I45" s="260"/>
      <c r="J45" s="260"/>
      <c r="K45" s="167"/>
      <c r="L45" s="167">
        <f t="shared" si="1"/>
      </c>
      <c r="M45" s="549"/>
      <c r="N45" s="549"/>
      <c r="O45" s="549"/>
      <c r="P45" s="549"/>
      <c r="Q45" s="48"/>
    </row>
    <row r="46" spans="1:17" ht="13.5" customHeight="1">
      <c r="A46" s="168"/>
      <c r="B46" s="67"/>
      <c r="C46" s="583" t="s">
        <v>521</v>
      </c>
      <c r="D46" s="583"/>
      <c r="E46" s="583"/>
      <c r="F46" s="583"/>
      <c r="G46" s="583"/>
      <c r="H46" s="208"/>
      <c r="I46" s="208"/>
      <c r="J46" s="208"/>
      <c r="K46" s="209">
        <f aca="true" t="shared" si="3" ref="K46:K51">IF(AND(NOT(EXACT($H$27,"")),$H$27&gt;=3),$K$73/6/$H$27,"")</f>
      </c>
      <c r="L46" s="209">
        <f t="shared" si="1"/>
      </c>
      <c r="P46" s="263"/>
      <c r="Q46" s="264"/>
    </row>
    <row r="47" spans="1:17" ht="12">
      <c r="A47" s="168"/>
      <c r="B47" s="65"/>
      <c r="C47" s="552" t="s">
        <v>523</v>
      </c>
      <c r="D47" s="552"/>
      <c r="E47" s="552"/>
      <c r="F47" s="552"/>
      <c r="G47" s="552"/>
      <c r="H47" s="208"/>
      <c r="I47" s="208"/>
      <c r="J47" s="208"/>
      <c r="K47" s="209">
        <f t="shared" si="3"/>
      </c>
      <c r="L47" s="209">
        <f t="shared" si="1"/>
      </c>
      <c r="P47" s="65"/>
      <c r="Q47" s="48"/>
    </row>
    <row r="48" spans="1:17" ht="12">
      <c r="A48" s="168"/>
      <c r="B48" s="65"/>
      <c r="C48" s="552" t="s">
        <v>525</v>
      </c>
      <c r="D48" s="552"/>
      <c r="E48" s="552"/>
      <c r="F48" s="552"/>
      <c r="G48" s="552"/>
      <c r="H48" s="208"/>
      <c r="I48" s="208"/>
      <c r="J48" s="208"/>
      <c r="K48" s="209">
        <f t="shared" si="3"/>
      </c>
      <c r="L48" s="209">
        <f t="shared" si="1"/>
      </c>
      <c r="M48" s="155"/>
      <c r="N48" s="156"/>
      <c r="O48" s="156"/>
      <c r="P48" s="65"/>
      <c r="Q48" s="48"/>
    </row>
    <row r="49" spans="1:17" ht="12">
      <c r="A49" s="168"/>
      <c r="B49" s="65"/>
      <c r="C49" s="584" t="s">
        <v>527</v>
      </c>
      <c r="D49" s="584"/>
      <c r="E49" s="584"/>
      <c r="F49" s="584"/>
      <c r="G49" s="584"/>
      <c r="H49" s="208"/>
      <c r="I49" s="208"/>
      <c r="J49" s="208"/>
      <c r="K49" s="209">
        <f t="shared" si="3"/>
      </c>
      <c r="L49" s="209">
        <f t="shared" si="1"/>
      </c>
      <c r="M49" s="239"/>
      <c r="N49" s="239"/>
      <c r="O49" s="239"/>
      <c r="P49" s="65"/>
      <c r="Q49" s="48"/>
    </row>
    <row r="50" spans="1:17" ht="12">
      <c r="A50" s="168"/>
      <c r="B50" s="65"/>
      <c r="C50" s="552" t="s">
        <v>529</v>
      </c>
      <c r="D50" s="552"/>
      <c r="E50" s="552"/>
      <c r="F50" s="552"/>
      <c r="G50" s="552"/>
      <c r="H50" s="208"/>
      <c r="I50" s="208"/>
      <c r="J50" s="208"/>
      <c r="K50" s="209">
        <f t="shared" si="3"/>
      </c>
      <c r="L50" s="209">
        <f t="shared" si="1"/>
      </c>
      <c r="M50" s="239"/>
      <c r="N50" s="239"/>
      <c r="O50" s="239"/>
      <c r="P50" s="65"/>
      <c r="Q50" s="48"/>
    </row>
    <row r="51" spans="1:17" ht="12">
      <c r="A51" s="168"/>
      <c r="B51" s="194"/>
      <c r="C51" s="579" t="s">
        <v>531</v>
      </c>
      <c r="D51" s="579"/>
      <c r="E51" s="579"/>
      <c r="F51" s="579"/>
      <c r="G51" s="579"/>
      <c r="H51" s="208"/>
      <c r="I51" s="208"/>
      <c r="J51" s="208"/>
      <c r="K51" s="209">
        <f t="shared" si="3"/>
      </c>
      <c r="L51" s="209">
        <f t="shared" si="1"/>
      </c>
      <c r="M51" s="239"/>
      <c r="N51" s="239"/>
      <c r="O51" s="239"/>
      <c r="P51" s="65"/>
      <c r="Q51" s="48"/>
    </row>
    <row r="52" spans="1:17" ht="13.5" customHeight="1">
      <c r="A52" s="168"/>
      <c r="B52" s="595" t="s">
        <v>626</v>
      </c>
      <c r="C52" s="595"/>
      <c r="D52" s="555"/>
      <c r="E52" s="555"/>
      <c r="F52" s="555"/>
      <c r="G52" s="555"/>
      <c r="H52" s="260"/>
      <c r="I52" s="260"/>
      <c r="J52" s="260"/>
      <c r="K52" s="167"/>
      <c r="L52" s="167">
        <f aca="true" t="shared" si="4" ref="L52:L65">IF(OR(AND(EXACT(H52,""),EXACT(I52,""),EXACT(J52,"")),EXACT($H$27,"")),"",IF(NOT(EXACT(J52,"")),IF(NOT(EXACT(K52,"")),K52*$J$28,""),IF(NOT(EXACT(I52,"")),IF(NOT(EXACT(K52,"")),K52*$I$28,""),IF(NOT(EXACT(H52,"")),IF(NOT(EXACT(K52,"")),K52*$H$28,"")))))</f>
      </c>
      <c r="P52" s="65"/>
      <c r="Q52" s="48"/>
    </row>
    <row r="53" spans="1:17" ht="13.5" customHeight="1">
      <c r="A53" s="168"/>
      <c r="B53" s="67"/>
      <c r="C53" s="583" t="s">
        <v>521</v>
      </c>
      <c r="D53" s="583"/>
      <c r="E53" s="583"/>
      <c r="F53" s="583"/>
      <c r="G53" s="583"/>
      <c r="H53" s="208"/>
      <c r="I53" s="208"/>
      <c r="J53" s="208"/>
      <c r="K53" s="209">
        <f aca="true" t="shared" si="5" ref="K53:K58">IF(AND(NOT(EXACT($H$27,"")),$H$27&gt;=4),$K$73/6/$H$27,"")</f>
      </c>
      <c r="L53" s="209">
        <f t="shared" si="4"/>
      </c>
      <c r="P53" s="263"/>
      <c r="Q53" s="264"/>
    </row>
    <row r="54" spans="1:17" ht="12">
      <c r="A54" s="168"/>
      <c r="B54" s="65"/>
      <c r="C54" s="552" t="s">
        <v>523</v>
      </c>
      <c r="D54" s="552"/>
      <c r="E54" s="552"/>
      <c r="F54" s="552"/>
      <c r="G54" s="552"/>
      <c r="H54" s="208"/>
      <c r="I54" s="208"/>
      <c r="J54" s="208"/>
      <c r="K54" s="209">
        <f t="shared" si="5"/>
      </c>
      <c r="L54" s="209">
        <f t="shared" si="4"/>
      </c>
      <c r="P54" s="65"/>
      <c r="Q54" s="48"/>
    </row>
    <row r="55" spans="1:17" ht="12">
      <c r="A55" s="168"/>
      <c r="B55" s="65"/>
      <c r="C55" s="584" t="s">
        <v>525</v>
      </c>
      <c r="D55" s="584"/>
      <c r="E55" s="584"/>
      <c r="F55" s="584"/>
      <c r="G55" s="584"/>
      <c r="H55" s="208"/>
      <c r="I55" s="208"/>
      <c r="J55" s="208"/>
      <c r="K55" s="209">
        <f t="shared" si="5"/>
      </c>
      <c r="L55" s="209">
        <f t="shared" si="4"/>
      </c>
      <c r="M55" s="155"/>
      <c r="N55" s="156"/>
      <c r="O55" s="156"/>
      <c r="P55" s="65"/>
      <c r="Q55" s="48"/>
    </row>
    <row r="56" spans="1:17" ht="12">
      <c r="A56" s="168"/>
      <c r="B56" s="65"/>
      <c r="C56" s="552" t="s">
        <v>527</v>
      </c>
      <c r="D56" s="552"/>
      <c r="E56" s="552"/>
      <c r="F56" s="552"/>
      <c r="G56" s="552"/>
      <c r="H56" s="208"/>
      <c r="I56" s="208"/>
      <c r="J56" s="208"/>
      <c r="K56" s="209">
        <f t="shared" si="5"/>
      </c>
      <c r="L56" s="209">
        <f t="shared" si="4"/>
      </c>
      <c r="M56" s="239"/>
      <c r="N56" s="239"/>
      <c r="O56" s="239"/>
      <c r="P56" s="65"/>
      <c r="Q56" s="48"/>
    </row>
    <row r="57" spans="1:17" ht="12">
      <c r="A57" s="168"/>
      <c r="B57" s="65"/>
      <c r="C57" s="552" t="s">
        <v>529</v>
      </c>
      <c r="D57" s="552"/>
      <c r="E57" s="552"/>
      <c r="F57" s="552"/>
      <c r="G57" s="552"/>
      <c r="H57" s="208"/>
      <c r="I57" s="208"/>
      <c r="J57" s="208"/>
      <c r="K57" s="209">
        <f t="shared" si="5"/>
      </c>
      <c r="L57" s="209">
        <f t="shared" si="4"/>
      </c>
      <c r="M57" s="239"/>
      <c r="N57" s="239"/>
      <c r="O57" s="239"/>
      <c r="P57" s="65"/>
      <c r="Q57" s="48"/>
    </row>
    <row r="58" spans="1:17" ht="12">
      <c r="A58" s="168"/>
      <c r="B58" s="194"/>
      <c r="C58" s="579" t="s">
        <v>531</v>
      </c>
      <c r="D58" s="579"/>
      <c r="E58" s="579"/>
      <c r="F58" s="579"/>
      <c r="G58" s="579"/>
      <c r="H58" s="208"/>
      <c r="I58" s="208"/>
      <c r="J58" s="208"/>
      <c r="K58" s="209">
        <f t="shared" si="5"/>
      </c>
      <c r="L58" s="209">
        <f t="shared" si="4"/>
      </c>
      <c r="M58" s="239"/>
      <c r="N58" s="239"/>
      <c r="O58" s="239"/>
      <c r="P58" s="65"/>
      <c r="Q58" s="48"/>
    </row>
    <row r="59" spans="1:17" ht="13.5" customHeight="1">
      <c r="A59" s="168"/>
      <c r="B59" s="595" t="s">
        <v>627</v>
      </c>
      <c r="C59" s="595"/>
      <c r="D59" s="555"/>
      <c r="E59" s="555"/>
      <c r="F59" s="555"/>
      <c r="G59" s="555"/>
      <c r="H59" s="260"/>
      <c r="I59" s="260"/>
      <c r="J59" s="260"/>
      <c r="K59" s="167"/>
      <c r="L59" s="167">
        <f t="shared" si="4"/>
      </c>
      <c r="P59" s="65"/>
      <c r="Q59" s="48"/>
    </row>
    <row r="60" spans="1:17" ht="13.5" customHeight="1">
      <c r="A60" s="168"/>
      <c r="B60" s="67"/>
      <c r="C60" s="583" t="s">
        <v>521</v>
      </c>
      <c r="D60" s="583"/>
      <c r="E60" s="583"/>
      <c r="F60" s="583"/>
      <c r="G60" s="583"/>
      <c r="H60" s="208"/>
      <c r="I60" s="208"/>
      <c r="J60" s="208"/>
      <c r="K60" s="209">
        <f aca="true" t="shared" si="6" ref="K60:K65">IF(AND(NOT(EXACT($H$27,"")),$H$27&gt;=5),$K$73/6/$H$27,"")</f>
      </c>
      <c r="L60" s="209">
        <f t="shared" si="4"/>
      </c>
      <c r="P60" s="263"/>
      <c r="Q60" s="264"/>
    </row>
    <row r="61" spans="1:17" ht="12">
      <c r="A61" s="168"/>
      <c r="B61" s="65"/>
      <c r="C61" s="552" t="s">
        <v>523</v>
      </c>
      <c r="D61" s="552"/>
      <c r="E61" s="552"/>
      <c r="F61" s="552"/>
      <c r="G61" s="552"/>
      <c r="H61" s="208"/>
      <c r="I61" s="208"/>
      <c r="J61" s="208"/>
      <c r="K61" s="209">
        <f t="shared" si="6"/>
      </c>
      <c r="L61" s="209">
        <f t="shared" si="4"/>
      </c>
      <c r="P61" s="65"/>
      <c r="Q61" s="48"/>
    </row>
    <row r="62" spans="1:17" ht="12">
      <c r="A62" s="168"/>
      <c r="B62" s="65"/>
      <c r="C62" s="584" t="s">
        <v>525</v>
      </c>
      <c r="D62" s="584"/>
      <c r="E62" s="584"/>
      <c r="F62" s="584"/>
      <c r="G62" s="584"/>
      <c r="H62" s="208"/>
      <c r="I62" s="208"/>
      <c r="J62" s="208"/>
      <c r="K62" s="209">
        <f t="shared" si="6"/>
      </c>
      <c r="L62" s="209">
        <f t="shared" si="4"/>
      </c>
      <c r="M62" s="155"/>
      <c r="N62" s="156"/>
      <c r="O62" s="156"/>
      <c r="P62" s="65"/>
      <c r="Q62" s="48"/>
    </row>
    <row r="63" spans="1:17" ht="12">
      <c r="A63" s="168"/>
      <c r="B63" s="65"/>
      <c r="C63" s="552" t="s">
        <v>527</v>
      </c>
      <c r="D63" s="552"/>
      <c r="E63" s="552"/>
      <c r="F63" s="552"/>
      <c r="G63" s="552"/>
      <c r="H63" s="208"/>
      <c r="I63" s="208"/>
      <c r="J63" s="208"/>
      <c r="K63" s="209">
        <f t="shared" si="6"/>
      </c>
      <c r="L63" s="209">
        <f t="shared" si="4"/>
      </c>
      <c r="M63" s="239"/>
      <c r="N63" s="239"/>
      <c r="O63" s="239"/>
      <c r="P63" s="65"/>
      <c r="Q63" s="48"/>
    </row>
    <row r="64" spans="1:17" ht="12">
      <c r="A64" s="168"/>
      <c r="B64" s="65"/>
      <c r="C64" s="552" t="s">
        <v>529</v>
      </c>
      <c r="D64" s="552"/>
      <c r="E64" s="552"/>
      <c r="F64" s="552"/>
      <c r="G64" s="552"/>
      <c r="H64" s="208"/>
      <c r="I64" s="208"/>
      <c r="J64" s="208"/>
      <c r="K64" s="209">
        <f t="shared" si="6"/>
      </c>
      <c r="L64" s="209">
        <f t="shared" si="4"/>
      </c>
      <c r="M64" s="239"/>
      <c r="N64" s="239"/>
      <c r="O64" s="239"/>
      <c r="P64" s="65"/>
      <c r="Q64" s="48"/>
    </row>
    <row r="65" spans="1:17" ht="12">
      <c r="A65" s="168"/>
      <c r="B65" s="194"/>
      <c r="C65" s="579" t="s">
        <v>531</v>
      </c>
      <c r="D65" s="579"/>
      <c r="E65" s="579"/>
      <c r="F65" s="579"/>
      <c r="G65" s="579"/>
      <c r="H65" s="208"/>
      <c r="I65" s="208"/>
      <c r="J65" s="208"/>
      <c r="K65" s="209">
        <f t="shared" si="6"/>
      </c>
      <c r="L65" s="209">
        <f t="shared" si="4"/>
      </c>
      <c r="M65" s="239"/>
      <c r="N65" s="239"/>
      <c r="O65" s="239"/>
      <c r="P65" s="65"/>
      <c r="Q65" s="48"/>
    </row>
    <row r="66" spans="1:17" ht="13.5" customHeight="1">
      <c r="A66" s="168"/>
      <c r="B66" s="595" t="s">
        <v>628</v>
      </c>
      <c r="C66" s="595"/>
      <c r="D66" s="555"/>
      <c r="E66" s="555"/>
      <c r="F66" s="555"/>
      <c r="G66" s="555"/>
      <c r="H66" s="260"/>
      <c r="I66" s="260"/>
      <c r="J66" s="260"/>
      <c r="K66" s="167"/>
      <c r="L66" s="167">
        <f t="shared" si="1"/>
      </c>
      <c r="P66" s="65"/>
      <c r="Q66" s="48"/>
    </row>
    <row r="67" spans="1:17" ht="13.5" customHeight="1">
      <c r="A67" s="168"/>
      <c r="B67" s="67"/>
      <c r="C67" s="583" t="s">
        <v>521</v>
      </c>
      <c r="D67" s="583"/>
      <c r="E67" s="583"/>
      <c r="F67" s="583"/>
      <c r="G67" s="583"/>
      <c r="H67" s="208"/>
      <c r="I67" s="208"/>
      <c r="J67" s="208"/>
      <c r="K67" s="209">
        <f aca="true" t="shared" si="7" ref="K67:K72">IF(AND(NOT(EXACT($H$27,"")),$H$27&gt;=6),$K$73/6/$H$27,"")</f>
      </c>
      <c r="L67" s="209">
        <f t="shared" si="1"/>
      </c>
      <c r="P67" s="263"/>
      <c r="Q67" s="264"/>
    </row>
    <row r="68" spans="1:17" ht="12">
      <c r="A68" s="168"/>
      <c r="B68" s="65"/>
      <c r="C68" s="552" t="s">
        <v>523</v>
      </c>
      <c r="D68" s="552"/>
      <c r="E68" s="552"/>
      <c r="F68" s="552"/>
      <c r="G68" s="552"/>
      <c r="H68" s="208"/>
      <c r="I68" s="208"/>
      <c r="J68" s="208"/>
      <c r="K68" s="209">
        <f t="shared" si="7"/>
      </c>
      <c r="L68" s="209">
        <f t="shared" si="1"/>
      </c>
      <c r="P68" s="65"/>
      <c r="Q68" s="48"/>
    </row>
    <row r="69" spans="1:17" ht="12">
      <c r="A69" s="168"/>
      <c r="B69" s="65"/>
      <c r="C69" s="584" t="s">
        <v>525</v>
      </c>
      <c r="D69" s="584"/>
      <c r="E69" s="584"/>
      <c r="F69" s="584"/>
      <c r="G69" s="584"/>
      <c r="H69" s="208"/>
      <c r="I69" s="208"/>
      <c r="J69" s="208"/>
      <c r="K69" s="209">
        <f t="shared" si="7"/>
      </c>
      <c r="L69" s="209">
        <f t="shared" si="1"/>
      </c>
      <c r="M69" s="155"/>
      <c r="N69" s="156"/>
      <c r="O69" s="156"/>
      <c r="P69" s="65"/>
      <c r="Q69" s="48"/>
    </row>
    <row r="70" spans="1:17" ht="12">
      <c r="A70" s="168"/>
      <c r="B70" s="65"/>
      <c r="C70" s="552" t="s">
        <v>527</v>
      </c>
      <c r="D70" s="552"/>
      <c r="E70" s="552"/>
      <c r="F70" s="552"/>
      <c r="G70" s="552"/>
      <c r="H70" s="208"/>
      <c r="I70" s="208"/>
      <c r="J70" s="208"/>
      <c r="K70" s="209">
        <f t="shared" si="7"/>
      </c>
      <c r="L70" s="209">
        <f t="shared" si="1"/>
      </c>
      <c r="M70" s="549"/>
      <c r="N70" s="549"/>
      <c r="O70" s="549"/>
      <c r="P70" s="549"/>
      <c r="Q70" s="48"/>
    </row>
    <row r="71" spans="1:17" ht="12">
      <c r="A71" s="168"/>
      <c r="B71" s="65"/>
      <c r="C71" s="552" t="s">
        <v>529</v>
      </c>
      <c r="D71" s="552"/>
      <c r="E71" s="552"/>
      <c r="F71" s="552"/>
      <c r="G71" s="552"/>
      <c r="H71" s="208"/>
      <c r="I71" s="208"/>
      <c r="J71" s="208"/>
      <c r="K71" s="209">
        <f t="shared" si="7"/>
      </c>
      <c r="L71" s="209">
        <f t="shared" si="1"/>
      </c>
      <c r="M71" s="549"/>
      <c r="N71" s="549"/>
      <c r="O71" s="549"/>
      <c r="P71" s="549"/>
      <c r="Q71" s="48"/>
    </row>
    <row r="72" spans="1:17" ht="12">
      <c r="A72" s="168"/>
      <c r="B72" s="194"/>
      <c r="C72" s="579" t="s">
        <v>531</v>
      </c>
      <c r="D72" s="579"/>
      <c r="E72" s="579"/>
      <c r="F72" s="579"/>
      <c r="G72" s="579"/>
      <c r="H72" s="208"/>
      <c r="I72" s="208"/>
      <c r="J72" s="208"/>
      <c r="K72" s="209">
        <f t="shared" si="7"/>
      </c>
      <c r="L72" s="209">
        <f t="shared" si="1"/>
      </c>
      <c r="M72" s="549"/>
      <c r="N72" s="549"/>
      <c r="O72" s="549"/>
      <c r="P72" s="549"/>
      <c r="Q72" s="48"/>
    </row>
    <row r="73" spans="1:17" ht="12">
      <c r="A73" s="57"/>
      <c r="B73" s="148"/>
      <c r="C73" s="148"/>
      <c r="D73" s="148"/>
      <c r="E73" s="148"/>
      <c r="F73" s="148"/>
      <c r="G73" s="65"/>
      <c r="H73" s="540" t="s">
        <v>296</v>
      </c>
      <c r="I73" s="540"/>
      <c r="J73" s="540"/>
      <c r="K73" s="265">
        <v>0.06</v>
      </c>
      <c r="L73" s="237">
        <f>IF(EXACT(H27,""),"",IF(H27=0,K73,SUM(L31:L72)))</f>
      </c>
      <c r="M73" s="549"/>
      <c r="N73" s="549"/>
      <c r="O73" s="549"/>
      <c r="P73" s="549"/>
      <c r="Q73" s="48"/>
    </row>
    <row r="74" spans="1:17" ht="12">
      <c r="A74" s="58"/>
      <c r="B74" s="159"/>
      <c r="C74" s="159"/>
      <c r="D74" s="159"/>
      <c r="E74" s="159"/>
      <c r="F74" s="159"/>
      <c r="G74" s="175"/>
      <c r="H74" s="175"/>
      <c r="I74" s="175"/>
      <c r="J74" s="175"/>
      <c r="K74" s="175"/>
      <c r="L74" s="175"/>
      <c r="M74" s="219"/>
      <c r="N74" s="175"/>
      <c r="O74" s="175"/>
      <c r="P74" s="68"/>
      <c r="Q74" s="48"/>
    </row>
    <row r="75" spans="1:17" ht="6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8"/>
    </row>
    <row r="76" spans="1:17" ht="15">
      <c r="A76" s="176" t="s">
        <v>461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 t="s">
        <v>296</v>
      </c>
      <c r="N76" s="178">
        <f>IF(AND(NOT(EXACT(L88,"")),NOT(EXACT(L96,"")),NOT(EXACT(L101,""))),(L88+L96+L101)*100,0)</f>
        <v>0</v>
      </c>
      <c r="O76" s="177" t="s">
        <v>297</v>
      </c>
      <c r="P76" s="179">
        <f>(K88+K96+K101)*100</f>
        <v>15</v>
      </c>
      <c r="Q76" s="180"/>
    </row>
    <row r="77" spans="1:17" ht="15">
      <c r="A77" s="314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183" t="s">
        <v>452</v>
      </c>
      <c r="N77" s="184"/>
      <c r="O77" s="184"/>
      <c r="P77" s="316"/>
      <c r="Q77" s="180"/>
    </row>
    <row r="78" spans="1:17" ht="12">
      <c r="A78" s="186" t="s">
        <v>462</v>
      </c>
      <c r="B78" s="187"/>
      <c r="C78" s="187"/>
      <c r="D78" s="187"/>
      <c r="E78" s="187"/>
      <c r="F78" s="187"/>
      <c r="G78" s="188"/>
      <c r="H78" s="548"/>
      <c r="I78" s="548"/>
      <c r="J78" s="548"/>
      <c r="K78" s="190"/>
      <c r="L78" s="191"/>
      <c r="M78" s="192"/>
      <c r="N78" s="46"/>
      <c r="O78" s="46"/>
      <c r="P78" s="65"/>
      <c r="Q78" s="48"/>
    </row>
    <row r="79" spans="1:17" ht="12">
      <c r="A79" s="193"/>
      <c r="B79" s="161"/>
      <c r="C79" s="161"/>
      <c r="D79" s="161"/>
      <c r="E79" s="161"/>
      <c r="F79" s="161"/>
      <c r="G79" s="194"/>
      <c r="H79" s="195">
        <v>0</v>
      </c>
      <c r="I79" s="196">
        <v>0.5</v>
      </c>
      <c r="J79" s="195">
        <v>1</v>
      </c>
      <c r="K79" s="197"/>
      <c r="L79" s="154"/>
      <c r="M79" s="192"/>
      <c r="N79" s="46"/>
      <c r="O79" s="46"/>
      <c r="P79" s="65"/>
      <c r="Q79" s="48"/>
    </row>
    <row r="80" spans="1:17" ht="21" customHeight="1">
      <c r="A80" s="198"/>
      <c r="B80" s="148"/>
      <c r="C80" s="148"/>
      <c r="D80" s="148"/>
      <c r="E80" s="148"/>
      <c r="F80" s="148"/>
      <c r="G80" s="199"/>
      <c r="H80" s="544" t="s">
        <v>463</v>
      </c>
      <c r="I80" s="544" t="s">
        <v>464</v>
      </c>
      <c r="J80" s="544" t="s">
        <v>465</v>
      </c>
      <c r="K80" s="200"/>
      <c r="L80" s="160"/>
      <c r="M80" s="201"/>
      <c r="N80" s="202"/>
      <c r="O80" s="202"/>
      <c r="P80" s="199" t="s">
        <v>77</v>
      </c>
      <c r="Q80" s="317"/>
    </row>
    <row r="81" spans="1:17" ht="21.75" customHeight="1">
      <c r="A81" s="198"/>
      <c r="B81" s="148"/>
      <c r="C81" s="148"/>
      <c r="D81" s="148"/>
      <c r="E81" s="148"/>
      <c r="F81" s="148"/>
      <c r="G81" s="199"/>
      <c r="H81" s="544"/>
      <c r="I81" s="544"/>
      <c r="J81" s="544"/>
      <c r="K81" s="162" t="s">
        <v>304</v>
      </c>
      <c r="L81" s="203" t="s">
        <v>458</v>
      </c>
      <c r="M81" s="201"/>
      <c r="N81" s="202"/>
      <c r="O81" s="202"/>
      <c r="P81" s="199"/>
      <c r="Q81" s="317"/>
    </row>
    <row r="82" spans="1:17" ht="12">
      <c r="A82" s="204"/>
      <c r="B82" s="577" t="s">
        <v>466</v>
      </c>
      <c r="C82" s="577"/>
      <c r="D82" s="546"/>
      <c r="E82" s="546"/>
      <c r="F82" s="546"/>
      <c r="G82" s="546"/>
      <c r="H82" s="207"/>
      <c r="I82" s="207"/>
      <c r="J82" s="208"/>
      <c r="K82" s="209">
        <f>IF($H$78&gt;=1,$K$88/$H$78,"")</f>
      </c>
      <c r="L82" s="210">
        <f>IF(OR(AND(EXACT(H82,""),EXACT(I82,""),EXACT(J82,"")),EXACT($H$78,"")),"",IF(NOT(EXACT(J82,"")),IF(NOT(EXACT(K82,"")),K82*J79,""),IF(NOT(EXACT(I82,"")),IF(NOT(EXACT(K82,"")),K82*I79,""),IF(NOT(EXACT(H82,"")),IF(NOT(EXACT(K82,"")),K82*H79,"")))))</f>
      </c>
      <c r="M82" s="192"/>
      <c r="N82" s="46"/>
      <c r="O82" s="46"/>
      <c r="P82" s="65"/>
      <c r="Q82" s="48"/>
    </row>
    <row r="83" spans="1:17" ht="12">
      <c r="A83" s="204"/>
      <c r="B83" s="577" t="s">
        <v>467</v>
      </c>
      <c r="C83" s="577"/>
      <c r="D83" s="547"/>
      <c r="E83" s="547"/>
      <c r="F83" s="547"/>
      <c r="G83" s="547"/>
      <c r="H83" s="207"/>
      <c r="I83" s="207"/>
      <c r="J83" s="208"/>
      <c r="K83" s="209">
        <f>IF($H$78&gt;=2,$K$88/$H$78,"")</f>
      </c>
      <c r="L83" s="210">
        <f>IF(OR(AND(EXACT(H83,""),EXACT(I83,""),EXACT(J83,"")),EXACT($H$78,"")),"",IF(NOT(EXACT(J83,"")),IF(NOT(EXACT(K83,"")),K83*J79,""),IF(NOT(EXACT(I83,"")),IF(NOT(EXACT(K83,"")),K83*I79,""),IF(NOT(EXACT(H83,"")),IF(NOT(EXACT(K83,"")),K83*H79,"")))))</f>
      </c>
      <c r="M83" s="192"/>
      <c r="N83" s="46"/>
      <c r="O83" s="46"/>
      <c r="P83" s="65"/>
      <c r="Q83" s="48"/>
    </row>
    <row r="84" spans="1:17" ht="12">
      <c r="A84" s="204"/>
      <c r="B84" s="577" t="s">
        <v>468</v>
      </c>
      <c r="C84" s="577"/>
      <c r="D84" s="547"/>
      <c r="E84" s="547"/>
      <c r="F84" s="547"/>
      <c r="G84" s="547"/>
      <c r="H84" s="207"/>
      <c r="I84" s="207"/>
      <c r="J84" s="208"/>
      <c r="K84" s="209">
        <f>IF($H$78&gt;=3,$K$88/$H$78,"")</f>
      </c>
      <c r="L84" s="210">
        <f>IF(OR(AND(EXACT(H84,""),EXACT(I84,""),EXACT(J84,"")),EXACT($H$78,"")),"",IF(NOT(EXACT(J84,"")),IF(NOT(EXACT(K84,"")),K84*J79,""),IF(NOT(EXACT(I84,"")),IF(NOT(EXACT(K84,"")),K84*I79,""),IF(NOT(EXACT(H84,"")),IF(NOT(EXACT(K84,"")),K84*H79,"")))))</f>
      </c>
      <c r="M84" s="192"/>
      <c r="N84" s="46"/>
      <c r="O84" s="46"/>
      <c r="P84" s="65"/>
      <c r="Q84" s="48"/>
    </row>
    <row r="85" spans="1:17" ht="12">
      <c r="A85" s="204"/>
      <c r="B85" s="577" t="s">
        <v>469</v>
      </c>
      <c r="C85" s="577"/>
      <c r="D85" s="547"/>
      <c r="E85" s="547"/>
      <c r="F85" s="547"/>
      <c r="G85" s="547"/>
      <c r="H85" s="207"/>
      <c r="I85" s="207"/>
      <c r="J85" s="208"/>
      <c r="K85" s="209">
        <f>IF($H$78&gt;=4,$K$88/$H$78,"")</f>
      </c>
      <c r="L85" s="210">
        <f>IF(OR(AND(EXACT(H85,""),EXACT(I85,""),EXACT(J85,"")),EXACT($H$78,"")),"",IF(NOT(EXACT(J85,"")),IF(NOT(EXACT(K85,"")),K85*J79,""),IF(NOT(EXACT(I85,"")),IF(NOT(EXACT(K85,"")),K85*I79,""),IF(NOT(EXACT(H85,"")),IF(NOT(EXACT(K85,"")),K85*H79,"")))))</f>
      </c>
      <c r="M85" s="192"/>
      <c r="N85" s="46"/>
      <c r="O85" s="46"/>
      <c r="P85" s="65"/>
      <c r="Q85" s="48"/>
    </row>
    <row r="86" spans="1:17" ht="12">
      <c r="A86" s="204"/>
      <c r="B86" s="577" t="s">
        <v>629</v>
      </c>
      <c r="C86" s="577"/>
      <c r="D86" s="547"/>
      <c r="E86" s="547"/>
      <c r="F86" s="547"/>
      <c r="G86" s="547"/>
      <c r="H86" s="207"/>
      <c r="I86" s="207"/>
      <c r="J86" s="208"/>
      <c r="K86" s="209">
        <f>IF($H$78&gt;=5,$K$88/$H$78,"")</f>
      </c>
      <c r="L86" s="210">
        <f>IF(OR(AND(EXACT(H86,""),EXACT(I86,""),EXACT(J86,"")),EXACT($H$78,"")),"",IF(NOT(EXACT(J86,"")),IF(NOT(EXACT(K86,"")),K86*J79,""),IF(NOT(EXACT(I86,"")),IF(NOT(EXACT(K86,"")),K86*I79,""),IF(NOT(EXACT(H86,"")),IF(NOT(EXACT(K86,"")),K86*H79,"")))))</f>
      </c>
      <c r="M86" s="192"/>
      <c r="N86" s="46"/>
      <c r="O86" s="46"/>
      <c r="P86" s="65"/>
      <c r="Q86" s="48"/>
    </row>
    <row r="87" spans="1:17" ht="12">
      <c r="A87" s="204"/>
      <c r="B87" s="594" t="s">
        <v>630</v>
      </c>
      <c r="C87" s="594"/>
      <c r="D87" s="542"/>
      <c r="E87" s="542"/>
      <c r="F87" s="542"/>
      <c r="G87" s="542"/>
      <c r="H87" s="207"/>
      <c r="I87" s="207"/>
      <c r="J87" s="208"/>
      <c r="K87" s="209">
        <f>IF($H$78&gt;=6,$K$88/$H$78,"")</f>
      </c>
      <c r="L87" s="210">
        <f>IF(OR(AND(EXACT(H87,""),EXACT(I87,""),EXACT(J87,"")),EXACT($H$78,"")),"",IF(NOT(EXACT(J87,"")),IF(NOT(EXACT(K87,"")),K87*J79,""),IF(NOT(EXACT(I87,"")),IF(NOT(EXACT(K87,"")),K87*I79,""),IF(NOT(EXACT(H87,"")),IF(NOT(EXACT(K87,"")),K87*H79,"")))))</f>
      </c>
      <c r="M87" s="192"/>
      <c r="N87" s="46"/>
      <c r="O87" s="46"/>
      <c r="P87" s="318"/>
      <c r="Q87" s="319"/>
    </row>
    <row r="88" spans="1:17" ht="12">
      <c r="A88" s="192"/>
      <c r="B88" s="161"/>
      <c r="C88" s="161"/>
      <c r="D88" s="161"/>
      <c r="E88" s="161"/>
      <c r="F88" s="161"/>
      <c r="G88" s="161"/>
      <c r="H88" s="540" t="s">
        <v>296</v>
      </c>
      <c r="I88" s="540"/>
      <c r="J88" s="540"/>
      <c r="K88" s="171">
        <v>0.04</v>
      </c>
      <c r="L88" s="218">
        <f>IF(EXACT(H78,""),"",IF(H78=0,K88,SUM(L82:L87)))</f>
      </c>
      <c r="M88" s="192"/>
      <c r="N88" s="46"/>
      <c r="O88" s="46"/>
      <c r="P88" s="65"/>
      <c r="Q88" s="48"/>
    </row>
    <row r="89" spans="1:17" ht="12">
      <c r="A89" s="219"/>
      <c r="B89" s="161"/>
      <c r="C89" s="161"/>
      <c r="D89" s="161"/>
      <c r="E89" s="161"/>
      <c r="F89" s="161"/>
      <c r="G89" s="161"/>
      <c r="H89" s="148"/>
      <c r="I89" s="148"/>
      <c r="J89" s="148"/>
      <c r="K89" s="220"/>
      <c r="L89" s="220"/>
      <c r="M89" s="192"/>
      <c r="N89" s="46"/>
      <c r="O89" s="46"/>
      <c r="P89" s="65"/>
      <c r="Q89" s="48"/>
    </row>
    <row r="90" spans="1:17" ht="12">
      <c r="A90" s="221"/>
      <c r="B90" s="222"/>
      <c r="C90" s="222"/>
      <c r="D90" s="222"/>
      <c r="E90" s="222"/>
      <c r="F90" s="222"/>
      <c r="G90" s="223"/>
      <c r="H90" s="151">
        <v>0</v>
      </c>
      <c r="I90" s="152">
        <v>0.75</v>
      </c>
      <c r="J90" s="152">
        <v>1</v>
      </c>
      <c r="K90" s="223"/>
      <c r="L90" s="67"/>
      <c r="M90" s="201"/>
      <c r="N90" s="202"/>
      <c r="O90" s="202"/>
      <c r="P90" s="65"/>
      <c r="Q90" s="48"/>
    </row>
    <row r="91" spans="1:17" ht="13.5" customHeight="1">
      <c r="A91" s="57"/>
      <c r="B91" s="148"/>
      <c r="C91" s="148"/>
      <c r="D91" s="153"/>
      <c r="E91" s="148"/>
      <c r="F91" s="543"/>
      <c r="G91" s="46"/>
      <c r="H91" s="544" t="s">
        <v>299</v>
      </c>
      <c r="I91" s="544" t="s">
        <v>316</v>
      </c>
      <c r="J91" s="544" t="s">
        <v>317</v>
      </c>
      <c r="K91" s="46"/>
      <c r="L91" s="46"/>
      <c r="M91" s="155" t="s">
        <v>456</v>
      </c>
      <c r="N91" s="156"/>
      <c r="O91" s="156"/>
      <c r="P91" s="65"/>
      <c r="Q91" s="48"/>
    </row>
    <row r="92" spans="1:17" ht="17.25" customHeight="1">
      <c r="A92" s="157"/>
      <c r="B92" s="148"/>
      <c r="C92" s="148"/>
      <c r="D92" s="158"/>
      <c r="E92" s="159"/>
      <c r="F92" s="543"/>
      <c r="G92" s="161"/>
      <c r="H92" s="544"/>
      <c r="I92" s="544"/>
      <c r="J92" s="544"/>
      <c r="K92" s="162" t="s">
        <v>304</v>
      </c>
      <c r="L92" s="203" t="s">
        <v>458</v>
      </c>
      <c r="M92" s="592" t="s">
        <v>631</v>
      </c>
      <c r="N92" s="592"/>
      <c r="O92" s="592"/>
      <c r="P92" s="592"/>
      <c r="Q92" s="48"/>
    </row>
    <row r="93" spans="1:17" ht="12">
      <c r="A93" s="539" t="s">
        <v>472</v>
      </c>
      <c r="B93" s="539"/>
      <c r="C93" s="539"/>
      <c r="D93" s="539"/>
      <c r="E93" s="539"/>
      <c r="F93" s="539"/>
      <c r="G93" s="539"/>
      <c r="H93" s="208"/>
      <c r="I93" s="208"/>
      <c r="J93" s="208"/>
      <c r="K93" s="224">
        <v>0.04</v>
      </c>
      <c r="L93" s="210">
        <f>IF(AND(EXACT(H93,""),EXACT(I93,""),EXACT(J93,"")),"",IF(NOT(EXACT(J93,"")),IF(NOT(EXACT(K93,"")),K93*$J$90,""),IF(NOT(EXACT(I93,"")),IF(NOT(EXACT(K93,"")),K93*$I$90,""),IF(NOT(EXACT(H93,"")),IF(NOT(EXACT(K93,"")),K93*$H$90,"")))))</f>
      </c>
      <c r="M93" s="592"/>
      <c r="N93" s="592"/>
      <c r="O93" s="592"/>
      <c r="P93" s="592"/>
      <c r="Q93" s="48"/>
    </row>
    <row r="94" spans="1:17" ht="12.75" customHeight="1">
      <c r="A94" s="539" t="s">
        <v>473</v>
      </c>
      <c r="B94" s="539"/>
      <c r="C94" s="539"/>
      <c r="D94" s="539"/>
      <c r="E94" s="539"/>
      <c r="F94" s="539"/>
      <c r="G94" s="539"/>
      <c r="H94" s="208"/>
      <c r="I94" s="208"/>
      <c r="J94" s="208"/>
      <c r="K94" s="224">
        <v>0.02</v>
      </c>
      <c r="L94" s="210">
        <f>IF(AND(EXACT(H94,""),EXACT(I94,""),EXACT(J94,"")),"",IF(NOT(EXACT(J94,"")),IF(NOT(EXACT(K94,"")),K94*$J$90,""),IF(NOT(EXACT(I94,"")),IF(NOT(EXACT(K94,"")),K94*$I$90,""),IF(NOT(EXACT(H94,"")),IF(NOT(EXACT(K94,"")),K94*$H$90,"")))))</f>
      </c>
      <c r="M94" s="593" t="s">
        <v>632</v>
      </c>
      <c r="N94" s="593"/>
      <c r="O94" s="593"/>
      <c r="P94" s="593"/>
      <c r="Q94" s="48"/>
    </row>
    <row r="95" spans="1:17" ht="12">
      <c r="A95" s="258" t="s">
        <v>633</v>
      </c>
      <c r="B95" s="259"/>
      <c r="C95" s="259"/>
      <c r="D95" s="302"/>
      <c r="E95" s="259"/>
      <c r="F95" s="302"/>
      <c r="G95" s="303"/>
      <c r="H95" s="208"/>
      <c r="I95" s="208"/>
      <c r="J95" s="208"/>
      <c r="K95" s="224">
        <v>0.02</v>
      </c>
      <c r="L95" s="210">
        <f>IF(AND(EXACT(H95,""),EXACT(I95,""),EXACT(J95,"")),"",IF(NOT(EXACT(J95,"")),IF(NOT(EXACT(K95,"")),K95*$J$90,""),IF(NOT(EXACT(I95,"")),IF(NOT(EXACT(K95,"")),K95*$I$90,""),IF(NOT(EXACT(H95,"")),IF(NOT(EXACT(K95,"")),K95*$H$90,"")))))</f>
      </c>
      <c r="M95" s="593"/>
      <c r="N95" s="593"/>
      <c r="O95" s="593"/>
      <c r="P95" s="593"/>
      <c r="Q95" s="48"/>
    </row>
    <row r="96" spans="1:17" ht="12">
      <c r="A96" s="168"/>
      <c r="B96" s="148"/>
      <c r="C96" s="148"/>
      <c r="D96" s="169"/>
      <c r="E96" s="148"/>
      <c r="F96" s="169"/>
      <c r="G96" s="48"/>
      <c r="H96" s="540" t="s">
        <v>296</v>
      </c>
      <c r="I96" s="540"/>
      <c r="J96" s="540"/>
      <c r="K96" s="171">
        <f>SUM(K93:K95)</f>
        <v>0.08</v>
      </c>
      <c r="L96" s="225">
        <f>IF(AND(OR(NOT(EXACT(H93,"")),NOT(EXACT(I93,"")),NOT(EXACT(J93,""))),OR(NOT(EXACT(H94,"")),NOT(EXACT(I94,"")),NOT(EXACT(J94,"")))),SUM(L93:L95),"")</f>
      </c>
      <c r="M96" s="192"/>
      <c r="N96" s="46"/>
      <c r="O96" s="46"/>
      <c r="P96" s="49"/>
      <c r="Q96" s="48"/>
    </row>
    <row r="97" spans="1:17" ht="12">
      <c r="A97" s="57"/>
      <c r="B97" s="148"/>
      <c r="C97" s="148"/>
      <c r="D97" s="148"/>
      <c r="E97" s="148"/>
      <c r="F97" s="148"/>
      <c r="G97" s="46"/>
      <c r="H97" s="226"/>
      <c r="I97" s="226"/>
      <c r="J97" s="226"/>
      <c r="K97" s="227"/>
      <c r="L97" s="228"/>
      <c r="M97" s="46"/>
      <c r="N97" s="46"/>
      <c r="O97" s="46"/>
      <c r="P97" s="65"/>
      <c r="Q97" s="48"/>
    </row>
    <row r="98" spans="1:17" ht="12">
      <c r="A98" s="221"/>
      <c r="B98" s="222"/>
      <c r="C98" s="222"/>
      <c r="D98" s="222"/>
      <c r="E98" s="222"/>
      <c r="F98" s="222"/>
      <c r="G98" s="223"/>
      <c r="H98" s="151">
        <v>0</v>
      </c>
      <c r="I98" s="152">
        <v>0.25</v>
      </c>
      <c r="J98" s="151">
        <v>1</v>
      </c>
      <c r="K98" s="223"/>
      <c r="L98" s="67"/>
      <c r="M98" s="192"/>
      <c r="N98" s="46"/>
      <c r="O98" s="46"/>
      <c r="P98" s="65"/>
      <c r="Q98" s="48"/>
    </row>
    <row r="99" spans="1:17" ht="33.75" customHeight="1">
      <c r="A99" s="57"/>
      <c r="B99" s="148"/>
      <c r="C99" s="148"/>
      <c r="D99" s="148"/>
      <c r="E99" s="148"/>
      <c r="F99" s="148"/>
      <c r="G99" s="161"/>
      <c r="H99" s="229" t="s">
        <v>476</v>
      </c>
      <c r="I99" s="229" t="s">
        <v>477</v>
      </c>
      <c r="J99" s="229" t="s">
        <v>325</v>
      </c>
      <c r="K99" s="162" t="s">
        <v>304</v>
      </c>
      <c r="L99" s="163" t="s">
        <v>458</v>
      </c>
      <c r="M99" s="46"/>
      <c r="N99" s="46"/>
      <c r="O99" s="46"/>
      <c r="P99" s="65"/>
      <c r="Q99" s="48"/>
    </row>
    <row r="100" spans="1:17" ht="12">
      <c r="A100" s="539" t="s">
        <v>478</v>
      </c>
      <c r="B100" s="539"/>
      <c r="C100" s="539"/>
      <c r="D100" s="539"/>
      <c r="E100" s="539"/>
      <c r="F100" s="539"/>
      <c r="G100" s="539"/>
      <c r="H100" s="208"/>
      <c r="I100" s="166"/>
      <c r="J100" s="166"/>
      <c r="K100" s="167"/>
      <c r="L100" s="167"/>
      <c r="M100" s="46"/>
      <c r="N100" s="46"/>
      <c r="O100" s="46"/>
      <c r="P100" s="65"/>
      <c r="Q100" s="48"/>
    </row>
    <row r="101" spans="1:17" ht="12">
      <c r="A101" s="221"/>
      <c r="B101" s="148"/>
      <c r="C101" s="148"/>
      <c r="D101" s="148"/>
      <c r="E101" s="148"/>
      <c r="F101" s="148"/>
      <c r="G101" s="65"/>
      <c r="H101" s="540" t="s">
        <v>296</v>
      </c>
      <c r="I101" s="540"/>
      <c r="J101" s="540"/>
      <c r="K101" s="171">
        <v>0.03</v>
      </c>
      <c r="L101" s="230">
        <f>IF(AND(EXACT(H100,""),EXACT(I100,""),EXACT(J100,"")),"",IF(NOT(EXACT(J100,"")),IF(NOT(EXACT(K101,"")),K101*J98,""),IF(NOT(EXACT(I100,"")),IF(NOT(EXACT(K101,"")),K101*I98,""),IF(NOT(EXACT(H100,"")),IF(NOT(EXACT(K101,"")),K101*H98,"")))))</f>
      </c>
      <c r="M101" s="46"/>
      <c r="N101" s="46"/>
      <c r="O101" s="46"/>
      <c r="P101" s="65"/>
      <c r="Q101" s="48"/>
    </row>
    <row r="102" spans="1:17" ht="13.5" customHeight="1">
      <c r="A102" s="173"/>
      <c r="B102" s="174"/>
      <c r="C102" s="174"/>
      <c r="D102" s="174"/>
      <c r="E102" s="174"/>
      <c r="F102" s="174"/>
      <c r="G102" s="175"/>
      <c r="H102" s="175"/>
      <c r="I102" s="175"/>
      <c r="J102" s="175"/>
      <c r="K102" s="175"/>
      <c r="L102" s="175"/>
      <c r="M102" s="219"/>
      <c r="N102" s="175"/>
      <c r="O102" s="175"/>
      <c r="P102" s="68"/>
      <c r="Q102" s="310"/>
    </row>
    <row r="103" spans="1:17" ht="15">
      <c r="A103" s="176" t="s">
        <v>448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 t="s">
        <v>296</v>
      </c>
      <c r="N103" s="178">
        <f>IF(AND(NOT(EXACT(L115,"")),NOT(EXACT(L122,"")),NOT(EXACT(L134,""))),(L115+L122+L134)*100,0)</f>
        <v>0</v>
      </c>
      <c r="O103" s="177" t="s">
        <v>297</v>
      </c>
      <c r="P103" s="179">
        <f>(K115+K122+K134)*100</f>
        <v>16</v>
      </c>
      <c r="Q103" s="180"/>
    </row>
    <row r="104" spans="1:17" ht="15">
      <c r="A104" s="314"/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183" t="s">
        <v>452</v>
      </c>
      <c r="N104" s="184"/>
      <c r="O104" s="184"/>
      <c r="P104" s="185"/>
      <c r="Q104" s="180"/>
    </row>
    <row r="105" spans="1:17" ht="12">
      <c r="A105" s="258" t="s">
        <v>535</v>
      </c>
      <c r="B105" s="187"/>
      <c r="C105" s="187"/>
      <c r="D105" s="187"/>
      <c r="E105" s="187"/>
      <c r="F105" s="187"/>
      <c r="G105" s="188"/>
      <c r="H105" s="548"/>
      <c r="I105" s="548"/>
      <c r="J105" s="548"/>
      <c r="K105" s="190"/>
      <c r="L105" s="191"/>
      <c r="M105" s="192"/>
      <c r="N105" s="46"/>
      <c r="O105" s="46"/>
      <c r="P105" s="65"/>
      <c r="Q105" s="48"/>
    </row>
    <row r="106" spans="1:17" ht="12">
      <c r="A106" s="193"/>
      <c r="B106" s="161"/>
      <c r="C106" s="161"/>
      <c r="D106" s="161"/>
      <c r="E106" s="161"/>
      <c r="F106" s="161"/>
      <c r="G106" s="194"/>
      <c r="H106" s="195">
        <v>0</v>
      </c>
      <c r="I106" s="196">
        <v>0.5</v>
      </c>
      <c r="J106" s="195">
        <v>1</v>
      </c>
      <c r="K106" s="197"/>
      <c r="L106" s="154"/>
      <c r="M106" s="155" t="s">
        <v>624</v>
      </c>
      <c r="N106" s="156"/>
      <c r="O106" s="156"/>
      <c r="P106" s="65"/>
      <c r="Q106" s="48"/>
    </row>
    <row r="107" spans="1:17" ht="21" customHeight="1">
      <c r="A107" s="198"/>
      <c r="B107" s="148"/>
      <c r="C107" s="148"/>
      <c r="D107" s="148"/>
      <c r="E107" s="148"/>
      <c r="F107" s="148"/>
      <c r="G107" s="199"/>
      <c r="H107" s="544" t="s">
        <v>634</v>
      </c>
      <c r="I107" s="544" t="s">
        <v>635</v>
      </c>
      <c r="J107" s="544" t="s">
        <v>503</v>
      </c>
      <c r="K107" s="200"/>
      <c r="L107" s="160"/>
      <c r="M107" s="273" t="s">
        <v>539</v>
      </c>
      <c r="N107" s="274"/>
      <c r="O107" s="274"/>
      <c r="P107" s="199"/>
      <c r="Q107" s="317"/>
    </row>
    <row r="108" spans="1:17" ht="13.5" customHeight="1">
      <c r="A108" s="198"/>
      <c r="B108" s="148"/>
      <c r="C108" s="148"/>
      <c r="D108" s="148"/>
      <c r="E108" s="148"/>
      <c r="F108" s="148"/>
      <c r="G108" s="199"/>
      <c r="H108" s="544"/>
      <c r="I108" s="544"/>
      <c r="J108" s="544"/>
      <c r="K108" s="162" t="s">
        <v>304</v>
      </c>
      <c r="L108" s="203" t="s">
        <v>458</v>
      </c>
      <c r="M108" s="238" t="s">
        <v>540</v>
      </c>
      <c r="N108" s="239"/>
      <c r="O108" s="239"/>
      <c r="P108" s="199"/>
      <c r="Q108" s="317"/>
    </row>
    <row r="109" spans="1:17" ht="12">
      <c r="A109" s="204"/>
      <c r="B109" s="545" t="s">
        <v>541</v>
      </c>
      <c r="C109" s="545"/>
      <c r="D109" s="546"/>
      <c r="E109" s="546"/>
      <c r="F109" s="546"/>
      <c r="G109" s="546"/>
      <c r="H109" s="207"/>
      <c r="I109" s="207"/>
      <c r="J109" s="208"/>
      <c r="K109" s="209">
        <f>IF($H$105&gt;=1,$K$115/$H$105,"")</f>
      </c>
      <c r="L109" s="210">
        <f aca="true" t="shared" si="8" ref="L109:L114">IF(OR(AND(EXACT(H109,""),EXACT(I109,""),EXACT(J109,"")),EXACT($H$105,"")),"",IF(NOT(EXACT(J109,"")),IF(NOT(EXACT(K109,"")),K109*$J$106,""),IF(NOT(EXACT(I109,"")),IF(NOT(EXACT(K109,"")),K109*$I$106,""),IF(NOT(EXACT(H109,"")),IF(NOT(EXACT(K109,"")),K109*$H$106,"")))))</f>
      </c>
      <c r="M109" s="238" t="s">
        <v>542</v>
      </c>
      <c r="N109" s="239"/>
      <c r="O109" s="239"/>
      <c r="P109" s="65"/>
      <c r="Q109" s="48"/>
    </row>
    <row r="110" spans="1:17" ht="12">
      <c r="A110" s="204"/>
      <c r="B110" s="545" t="s">
        <v>543</v>
      </c>
      <c r="C110" s="545"/>
      <c r="D110" s="547"/>
      <c r="E110" s="547"/>
      <c r="F110" s="547"/>
      <c r="G110" s="547"/>
      <c r="H110" s="207"/>
      <c r="I110" s="207"/>
      <c r="J110" s="208"/>
      <c r="K110" s="209">
        <f>IF($H$105&gt;=2,$K$115/$H$105,"")</f>
      </c>
      <c r="L110" s="210">
        <f t="shared" si="8"/>
      </c>
      <c r="M110" s="238" t="s">
        <v>544</v>
      </c>
      <c r="N110" s="239"/>
      <c r="O110" s="239"/>
      <c r="P110" s="65"/>
      <c r="Q110" s="48"/>
    </row>
    <row r="111" spans="1:17" ht="12">
      <c r="A111" s="204"/>
      <c r="B111" s="545" t="s">
        <v>545</v>
      </c>
      <c r="C111" s="545"/>
      <c r="D111" s="547"/>
      <c r="E111" s="547"/>
      <c r="F111" s="547"/>
      <c r="G111" s="547"/>
      <c r="H111" s="207"/>
      <c r="I111" s="207"/>
      <c r="J111" s="208"/>
      <c r="K111" s="209">
        <f>IF($H$105&gt;=3,$K$115/$H$105,"")</f>
      </c>
      <c r="L111" s="210">
        <f t="shared" si="8"/>
      </c>
      <c r="M111" s="238" t="s">
        <v>546</v>
      </c>
      <c r="N111" s="239"/>
      <c r="O111" s="239"/>
      <c r="P111" s="65"/>
      <c r="Q111" s="48"/>
    </row>
    <row r="112" spans="1:17" ht="12">
      <c r="A112" s="204"/>
      <c r="B112" s="545" t="s">
        <v>547</v>
      </c>
      <c r="C112" s="545"/>
      <c r="D112" s="547"/>
      <c r="E112" s="547"/>
      <c r="F112" s="547"/>
      <c r="G112" s="547"/>
      <c r="H112" s="207"/>
      <c r="I112" s="207"/>
      <c r="J112" s="208"/>
      <c r="K112" s="209">
        <f>IF($H$105&gt;=4,$K$115/$H$105,"")</f>
      </c>
      <c r="L112" s="210">
        <f t="shared" si="8"/>
      </c>
      <c r="M112" s="192"/>
      <c r="N112" s="46"/>
      <c r="O112" s="46"/>
      <c r="P112" s="65"/>
      <c r="Q112" s="48"/>
    </row>
    <row r="113" spans="1:17" ht="12">
      <c r="A113" s="204"/>
      <c r="B113" s="545" t="s">
        <v>548</v>
      </c>
      <c r="C113" s="545"/>
      <c r="D113" s="547"/>
      <c r="E113" s="547"/>
      <c r="F113" s="547"/>
      <c r="G113" s="547"/>
      <c r="H113" s="207"/>
      <c r="I113" s="207"/>
      <c r="J113" s="208"/>
      <c r="K113" s="209">
        <f>IF($H$105&gt;=5,$K$115/$H$105,"")</f>
      </c>
      <c r="L113" s="210">
        <f t="shared" si="8"/>
      </c>
      <c r="M113" s="192"/>
      <c r="N113" s="46"/>
      <c r="O113" s="46"/>
      <c r="P113" s="65"/>
      <c r="Q113" s="48"/>
    </row>
    <row r="114" spans="1:17" ht="12">
      <c r="A114" s="204"/>
      <c r="B114" s="541" t="s">
        <v>549</v>
      </c>
      <c r="C114" s="541"/>
      <c r="D114" s="578"/>
      <c r="E114" s="578"/>
      <c r="F114" s="578"/>
      <c r="G114" s="578"/>
      <c r="H114" s="207"/>
      <c r="I114" s="207"/>
      <c r="J114" s="208"/>
      <c r="K114" s="209">
        <f>IF($H$105&gt;=6,$K$115/$H$105,"")</f>
      </c>
      <c r="L114" s="210">
        <f t="shared" si="8"/>
      </c>
      <c r="M114" s="192"/>
      <c r="N114" s="46"/>
      <c r="O114" s="46"/>
      <c r="P114" s="65"/>
      <c r="Q114" s="48"/>
    </row>
    <row r="115" spans="1:17" ht="12">
      <c r="A115" s="192"/>
      <c r="B115" s="161"/>
      <c r="C115" s="161"/>
      <c r="D115" s="161"/>
      <c r="E115" s="161"/>
      <c r="F115" s="161"/>
      <c r="G115" s="161"/>
      <c r="H115" s="540" t="s">
        <v>296</v>
      </c>
      <c r="I115" s="540"/>
      <c r="J115" s="540"/>
      <c r="K115" s="171">
        <v>0.06</v>
      </c>
      <c r="L115" s="218">
        <f>IF(EXACT(H105,""),"",IF(H105=0,K115,SUM(L109:L114)))</f>
      </c>
      <c r="M115" s="192"/>
      <c r="N115" s="46"/>
      <c r="O115" s="46"/>
      <c r="P115" s="65"/>
      <c r="Q115" s="48"/>
    </row>
    <row r="116" spans="1:17" ht="13.5" customHeight="1">
      <c r="A116" s="275"/>
      <c r="B116" s="66"/>
      <c r="C116" s="66"/>
      <c r="D116" s="66"/>
      <c r="E116" s="66"/>
      <c r="F116" s="66"/>
      <c r="M116" s="192"/>
      <c r="N116" s="46"/>
      <c r="O116" s="46"/>
      <c r="P116" s="65"/>
      <c r="Q116" s="48"/>
    </row>
    <row r="117" spans="1:17" ht="12">
      <c r="A117" s="221"/>
      <c r="B117" s="222"/>
      <c r="C117" s="222"/>
      <c r="D117" s="222"/>
      <c r="E117" s="222"/>
      <c r="F117" s="222"/>
      <c r="G117" s="223"/>
      <c r="H117" s="151">
        <v>0</v>
      </c>
      <c r="I117" s="152">
        <v>0.75</v>
      </c>
      <c r="J117" s="152">
        <v>1</v>
      </c>
      <c r="K117" s="223"/>
      <c r="L117" s="67"/>
      <c r="M117" s="201"/>
      <c r="N117" s="202"/>
      <c r="O117" s="202"/>
      <c r="P117" s="65"/>
      <c r="Q117" s="48"/>
    </row>
    <row r="118" spans="1:17" ht="13.5" customHeight="1">
      <c r="A118" s="57"/>
      <c r="B118" s="148"/>
      <c r="C118" s="148"/>
      <c r="D118" s="153"/>
      <c r="E118" s="148"/>
      <c r="F118" s="543"/>
      <c r="G118" s="46"/>
      <c r="H118" s="544" t="s">
        <v>453</v>
      </c>
      <c r="I118" s="544" t="s">
        <v>454</v>
      </c>
      <c r="J118" s="544" t="s">
        <v>455</v>
      </c>
      <c r="K118" s="46"/>
      <c r="L118" s="46"/>
      <c r="M118" s="155"/>
      <c r="N118" s="156"/>
      <c r="O118" s="156"/>
      <c r="P118" s="65"/>
      <c r="Q118" s="48"/>
    </row>
    <row r="119" spans="1:17" ht="12">
      <c r="A119" s="157" t="s">
        <v>550</v>
      </c>
      <c r="B119" s="148"/>
      <c r="C119" s="148"/>
      <c r="D119" s="158"/>
      <c r="E119" s="159"/>
      <c r="F119" s="543"/>
      <c r="G119" s="161"/>
      <c r="H119" s="544"/>
      <c r="I119" s="544"/>
      <c r="J119" s="544"/>
      <c r="K119" s="162" t="s">
        <v>304</v>
      </c>
      <c r="L119" s="203" t="s">
        <v>458</v>
      </c>
      <c r="M119" s="238"/>
      <c r="N119" s="239"/>
      <c r="O119" s="239"/>
      <c r="P119" s="65"/>
      <c r="Q119" s="48"/>
    </row>
    <row r="120" spans="1:17" ht="12">
      <c r="A120" s="539" t="s">
        <v>551</v>
      </c>
      <c r="B120" s="539"/>
      <c r="C120" s="539"/>
      <c r="D120" s="539"/>
      <c r="E120" s="539"/>
      <c r="F120" s="539"/>
      <c r="G120" s="539"/>
      <c r="H120" s="208"/>
      <c r="I120" s="208"/>
      <c r="J120" s="208"/>
      <c r="K120" s="224">
        <v>0.03</v>
      </c>
      <c r="L120" s="210">
        <f>IF(AND(EXACT(H120,""),EXACT(I120,""),EXACT(J120,"")),"",IF(NOT(EXACT(J120,"")),IF(NOT(EXACT(K120,"")),K120*$J$117,""),IF(NOT(EXACT(I120,"")),IF(NOT(EXACT(K120,"")),K120*$I$117,""),IF(NOT(EXACT(H120,"")),IF(NOT(EXACT(K120,"")),K120*$H$117,"")))))</f>
      </c>
      <c r="M120" s="251"/>
      <c r="N120" s="252"/>
      <c r="O120" s="252"/>
      <c r="P120" s="65"/>
      <c r="Q120" s="48"/>
    </row>
    <row r="121" spans="1:17" ht="12">
      <c r="A121" s="539" t="s">
        <v>552</v>
      </c>
      <c r="B121" s="539"/>
      <c r="C121" s="539"/>
      <c r="D121" s="539"/>
      <c r="E121" s="539"/>
      <c r="F121" s="539"/>
      <c r="G121" s="539"/>
      <c r="H121" s="208"/>
      <c r="I121" s="208"/>
      <c r="J121" s="208"/>
      <c r="K121" s="224">
        <v>0.01</v>
      </c>
      <c r="L121" s="210">
        <f>IF(AND(EXACT(H121,""),EXACT(I121,""),EXACT(J121,"")),"",IF(NOT(EXACT(J121,"")),IF(NOT(EXACT(K121,"")),K121*$J$117,""),IF(NOT(EXACT(I121,"")),IF(NOT(EXACT(K121,"")),K121*$I$117,""),IF(NOT(EXACT(H121,"")),IF(NOT(EXACT(K121,"")),K121*$H$117,"")))))</f>
      </c>
      <c r="M121" s="251"/>
      <c r="N121" s="252"/>
      <c r="O121" s="252"/>
      <c r="P121" s="49"/>
      <c r="Q121" s="48"/>
    </row>
    <row r="122" spans="1:17" ht="12">
      <c r="A122" s="168"/>
      <c r="B122" s="148"/>
      <c r="C122" s="148"/>
      <c r="D122" s="169"/>
      <c r="E122" s="148"/>
      <c r="F122" s="169"/>
      <c r="G122" s="48"/>
      <c r="H122" s="540" t="s">
        <v>296</v>
      </c>
      <c r="I122" s="540"/>
      <c r="J122" s="540"/>
      <c r="K122" s="171">
        <f>SUM(K120:K121)</f>
        <v>0.04</v>
      </c>
      <c r="L122" s="225">
        <f>IF(AND(OR(NOT(EXACT(H120,"")),NOT(EXACT(I120,"")),NOT(EXACT(J120,""))),OR(NOT(EXACT(H121,"")),NOT(EXACT(I121,"")),NOT(EXACT(J121,"")))),SUM(L120:L121),"")</f>
      </c>
      <c r="M122" s="192"/>
      <c r="N122" s="46"/>
      <c r="O122" s="46"/>
      <c r="P122" s="49"/>
      <c r="Q122" s="48"/>
    </row>
    <row r="123" spans="1:17" ht="13.5" customHeight="1">
      <c r="A123" s="238" t="s">
        <v>553</v>
      </c>
      <c r="B123" s="66"/>
      <c r="C123" s="66"/>
      <c r="D123" s="66"/>
      <c r="E123" s="66"/>
      <c r="F123" s="66"/>
      <c r="M123" s="192"/>
      <c r="N123" s="46"/>
      <c r="O123" s="46"/>
      <c r="P123" s="65"/>
      <c r="Q123" s="48"/>
    </row>
    <row r="124" spans="1:17" ht="12">
      <c r="A124" s="539" t="s">
        <v>554</v>
      </c>
      <c r="B124" s="539"/>
      <c r="C124" s="539"/>
      <c r="D124" s="539"/>
      <c r="E124" s="539"/>
      <c r="F124" s="539"/>
      <c r="G124" s="539"/>
      <c r="H124" s="548"/>
      <c r="I124" s="548"/>
      <c r="J124" s="548"/>
      <c r="K124" s="190"/>
      <c r="L124" s="191"/>
      <c r="M124" s="192"/>
      <c r="N124" s="46"/>
      <c r="O124" s="46"/>
      <c r="P124" s="65"/>
      <c r="Q124" s="48"/>
    </row>
    <row r="125" spans="1:17" ht="12">
      <c r="A125" s="193"/>
      <c r="B125" s="161"/>
      <c r="C125" s="161"/>
      <c r="D125" s="161"/>
      <c r="E125" s="161"/>
      <c r="F125" s="161"/>
      <c r="G125" s="194"/>
      <c r="H125" s="195">
        <v>0</v>
      </c>
      <c r="I125" s="196">
        <v>0.75</v>
      </c>
      <c r="J125" s="195">
        <v>1</v>
      </c>
      <c r="K125" s="197"/>
      <c r="L125" s="154"/>
      <c r="M125" s="155" t="s">
        <v>624</v>
      </c>
      <c r="N125" s="156"/>
      <c r="O125" s="156"/>
      <c r="P125" s="65"/>
      <c r="Q125" s="48"/>
    </row>
    <row r="126" spans="1:17" ht="21" customHeight="1">
      <c r="A126" s="198"/>
      <c r="B126" s="148"/>
      <c r="C126" s="148"/>
      <c r="D126" s="148"/>
      <c r="E126" s="148"/>
      <c r="F126" s="148"/>
      <c r="G126" s="199"/>
      <c r="H126" s="544" t="s">
        <v>555</v>
      </c>
      <c r="I126" s="544" t="s">
        <v>556</v>
      </c>
      <c r="J126" s="544" t="s">
        <v>557</v>
      </c>
      <c r="K126" s="200"/>
      <c r="L126" s="160"/>
      <c r="M126" s="273" t="s">
        <v>539</v>
      </c>
      <c r="N126" s="274"/>
      <c r="O126" s="274"/>
      <c r="P126" s="199"/>
      <c r="Q126" s="317"/>
    </row>
    <row r="127" spans="1:17" ht="18" customHeight="1">
      <c r="A127" s="198"/>
      <c r="B127" s="148"/>
      <c r="C127" s="148"/>
      <c r="D127" s="148"/>
      <c r="E127" s="148"/>
      <c r="F127" s="148"/>
      <c r="G127" s="199"/>
      <c r="H127" s="544"/>
      <c r="I127" s="544"/>
      <c r="J127" s="544"/>
      <c r="K127" s="162" t="s">
        <v>304</v>
      </c>
      <c r="L127" s="203" t="s">
        <v>458</v>
      </c>
      <c r="M127" s="238" t="s">
        <v>540</v>
      </c>
      <c r="N127" s="239"/>
      <c r="O127" s="239"/>
      <c r="P127" s="199"/>
      <c r="Q127" s="317"/>
    </row>
    <row r="128" spans="1:17" ht="12">
      <c r="A128" s="204"/>
      <c r="B128" s="545" t="s">
        <v>559</v>
      </c>
      <c r="C128" s="545"/>
      <c r="D128" s="546"/>
      <c r="E128" s="546"/>
      <c r="F128" s="546"/>
      <c r="G128" s="546"/>
      <c r="H128" s="207"/>
      <c r="I128" s="207"/>
      <c r="J128" s="208"/>
      <c r="K128" s="209">
        <f>IF($H$124&gt;=1,$K$134/$H$124,"")</f>
      </c>
      <c r="L128" s="210">
        <f aca="true" t="shared" si="9" ref="L128:L133">IF(OR(AND(EXACT(H128,""),EXACT(I128,""),EXACT(J128,"")),EXACT($H$124,"")),"",IF(NOT(EXACT(J128,"")),IF(NOT(EXACT(K128,"")),K128*$J$125,""),IF(NOT(EXACT(I128,"")),IF(NOT(EXACT(K128,"")),K128*$I$125,""),IF(NOT(EXACT(H128,"")),IF(NOT(EXACT(K128,"")),K128*$H$125,"")))))</f>
      </c>
      <c r="M128" s="238" t="s">
        <v>542</v>
      </c>
      <c r="N128" s="239"/>
      <c r="O128" s="239"/>
      <c r="P128" s="65"/>
      <c r="Q128" s="48"/>
    </row>
    <row r="129" spans="1:17" ht="12">
      <c r="A129" s="204"/>
      <c r="B129" s="545" t="s">
        <v>560</v>
      </c>
      <c r="C129" s="545"/>
      <c r="D129" s="547"/>
      <c r="E129" s="547"/>
      <c r="F129" s="547"/>
      <c r="G129" s="547"/>
      <c r="H129" s="207"/>
      <c r="I129" s="207"/>
      <c r="J129" s="208"/>
      <c r="K129" s="209">
        <f>IF($H$124&gt;=2,$K$134/$H$124,"")</f>
      </c>
      <c r="L129" s="210">
        <f t="shared" si="9"/>
      </c>
      <c r="M129" s="238" t="s">
        <v>544</v>
      </c>
      <c r="N129" s="239"/>
      <c r="O129" s="239"/>
      <c r="P129" s="65"/>
      <c r="Q129" s="48"/>
    </row>
    <row r="130" spans="1:17" ht="12">
      <c r="A130" s="204"/>
      <c r="B130" s="545" t="s">
        <v>561</v>
      </c>
      <c r="C130" s="545"/>
      <c r="D130" s="320"/>
      <c r="E130" s="320"/>
      <c r="F130" s="320"/>
      <c r="G130" s="321"/>
      <c r="H130" s="207"/>
      <c r="I130" s="207"/>
      <c r="J130" s="208"/>
      <c r="K130" s="209">
        <f>IF($H$124&gt;=3,$K$134/$H$124,"")</f>
      </c>
      <c r="L130" s="210">
        <f t="shared" si="9"/>
      </c>
      <c r="M130" s="238" t="s">
        <v>546</v>
      </c>
      <c r="N130" s="239"/>
      <c r="O130" s="239"/>
      <c r="P130" s="65"/>
      <c r="Q130" s="48"/>
    </row>
    <row r="131" spans="1:17" ht="12">
      <c r="A131" s="204"/>
      <c r="B131" s="545" t="s">
        <v>562</v>
      </c>
      <c r="C131" s="545"/>
      <c r="D131" s="547"/>
      <c r="E131" s="547"/>
      <c r="F131" s="547"/>
      <c r="G131" s="547"/>
      <c r="H131" s="207"/>
      <c r="I131" s="207"/>
      <c r="J131" s="208"/>
      <c r="K131" s="209">
        <f>IF($H$124&gt;=4,$K$134/$H$124,"")</f>
      </c>
      <c r="L131" s="210">
        <f t="shared" si="9"/>
      </c>
      <c r="M131" s="192"/>
      <c r="N131" s="46"/>
      <c r="O131" s="46"/>
      <c r="P131" s="65"/>
      <c r="Q131" s="48"/>
    </row>
    <row r="132" spans="1:17" ht="12">
      <c r="A132" s="204"/>
      <c r="B132" s="545" t="s">
        <v>563</v>
      </c>
      <c r="C132" s="545"/>
      <c r="D132" s="547"/>
      <c r="E132" s="547"/>
      <c r="F132" s="547"/>
      <c r="G132" s="547"/>
      <c r="H132" s="207"/>
      <c r="I132" s="207"/>
      <c r="J132" s="208"/>
      <c r="K132" s="209">
        <f>IF($H$124&gt;=5,$K$134/$H$124,"")</f>
      </c>
      <c r="L132" s="210">
        <f t="shared" si="9"/>
      </c>
      <c r="M132" s="192"/>
      <c r="N132" s="46"/>
      <c r="O132" s="46"/>
      <c r="P132" s="65"/>
      <c r="Q132" s="48"/>
    </row>
    <row r="133" spans="1:17" ht="12">
      <c r="A133" s="204"/>
      <c r="B133" s="541" t="s">
        <v>636</v>
      </c>
      <c r="C133" s="541"/>
      <c r="D133" s="542"/>
      <c r="E133" s="542"/>
      <c r="F133" s="542"/>
      <c r="G133" s="542"/>
      <c r="H133" s="207"/>
      <c r="I133" s="207"/>
      <c r="J133" s="208"/>
      <c r="K133" s="209">
        <f>IF($H$124&gt;=6,$K$134/$H$124,"")</f>
      </c>
      <c r="L133" s="210">
        <f t="shared" si="9"/>
      </c>
      <c r="M133" s="192"/>
      <c r="N133" s="46"/>
      <c r="O133" s="46"/>
      <c r="P133" s="65"/>
      <c r="Q133" s="48"/>
    </row>
    <row r="134" spans="1:17" ht="12">
      <c r="A134" s="192"/>
      <c r="B134" s="161"/>
      <c r="C134" s="161"/>
      <c r="D134" s="161"/>
      <c r="E134" s="161"/>
      <c r="F134" s="161"/>
      <c r="G134" s="161"/>
      <c r="H134" s="540" t="s">
        <v>296</v>
      </c>
      <c r="I134" s="540"/>
      <c r="J134" s="540"/>
      <c r="K134" s="171">
        <v>0.06</v>
      </c>
      <c r="L134" s="218">
        <f>IF(EXACT(H124,""),"",IF(H124=0,K134,SUM(L128:L133)))</f>
      </c>
      <c r="M134" s="192"/>
      <c r="N134" s="46"/>
      <c r="O134" s="46"/>
      <c r="P134" s="65"/>
      <c r="Q134" s="48"/>
    </row>
    <row r="135" spans="1:17" ht="12">
      <c r="A135" s="219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219"/>
      <c r="N135" s="175"/>
      <c r="O135" s="175"/>
      <c r="P135" s="68"/>
      <c r="Q135" s="48"/>
    </row>
    <row r="136" spans="1:17" ht="1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8"/>
    </row>
    <row r="137" spans="1:17" ht="15">
      <c r="A137" s="176" t="s">
        <v>564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 t="s">
        <v>296</v>
      </c>
      <c r="N137" s="178">
        <f>IF(AND(NOT(EXACT(H141,"")),NOT(EXACT(H142,""))),P137,IF(AND(NOT(EXACT(L147,"")),NOT(EXACT(L152,""))),(L147+L152)*100,IF(AND(EXACT(L147,""),NOT(EXACT(L152,""))),L152*100,IF(AND(NOT(EXACT(L147,"")),EXACT(L152,"")),L147*100,0))))</f>
        <v>0</v>
      </c>
      <c r="O137" s="177" t="s">
        <v>297</v>
      </c>
      <c r="P137" s="179">
        <v>12</v>
      </c>
      <c r="Q137" s="180"/>
    </row>
    <row r="138" spans="1:17" ht="15">
      <c r="A138" s="314"/>
      <c r="B138" s="315"/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183" t="s">
        <v>452</v>
      </c>
      <c r="N138" s="184"/>
      <c r="O138" s="184"/>
      <c r="P138" s="185"/>
      <c r="Q138" s="180"/>
    </row>
    <row r="139" spans="1:17" ht="13.5" customHeight="1">
      <c r="A139" s="57"/>
      <c r="B139" s="148"/>
      <c r="C139" s="148"/>
      <c r="D139" s="153"/>
      <c r="E139" s="148"/>
      <c r="F139" s="543"/>
      <c r="G139" s="46"/>
      <c r="H139" s="544" t="s">
        <v>453</v>
      </c>
      <c r="I139" s="544" t="s">
        <v>455</v>
      </c>
      <c r="J139" s="544"/>
      <c r="K139" s="276"/>
      <c r="L139" s="277"/>
      <c r="M139" s="46"/>
      <c r="N139" s="46"/>
      <c r="O139" s="46"/>
      <c r="P139" s="65"/>
      <c r="Q139" s="48"/>
    </row>
    <row r="140" spans="1:17" ht="12">
      <c r="A140" s="157" t="s">
        <v>565</v>
      </c>
      <c r="B140" s="148"/>
      <c r="C140" s="148"/>
      <c r="D140" s="158"/>
      <c r="E140" s="159"/>
      <c r="F140" s="543"/>
      <c r="G140" s="161"/>
      <c r="H140" s="544"/>
      <c r="I140" s="544"/>
      <c r="J140" s="544"/>
      <c r="K140" s="162"/>
      <c r="L140" s="163"/>
      <c r="M140" s="46"/>
      <c r="N140" s="46"/>
      <c r="O140" s="46"/>
      <c r="P140" s="65"/>
      <c r="Q140" s="48"/>
    </row>
    <row r="141" spans="1:17" ht="12">
      <c r="A141" s="539" t="s">
        <v>566</v>
      </c>
      <c r="B141" s="539"/>
      <c r="C141" s="539"/>
      <c r="D141" s="539"/>
      <c r="E141" s="539"/>
      <c r="F141" s="539"/>
      <c r="G141" s="539"/>
      <c r="H141" s="208"/>
      <c r="I141" s="208"/>
      <c r="J141" s="170"/>
      <c r="K141" s="224"/>
      <c r="L141" s="224"/>
      <c r="M141" s="46"/>
      <c r="N141" s="46"/>
      <c r="O141" s="46"/>
      <c r="P141" s="65"/>
      <c r="Q141" s="48"/>
    </row>
    <row r="142" spans="1:17" ht="12">
      <c r="A142" s="539" t="s">
        <v>567</v>
      </c>
      <c r="B142" s="539"/>
      <c r="C142" s="539"/>
      <c r="D142" s="539"/>
      <c r="E142" s="539"/>
      <c r="F142" s="539"/>
      <c r="G142" s="539"/>
      <c r="H142" s="208"/>
      <c r="I142" s="208"/>
      <c r="J142" s="170"/>
      <c r="K142" s="224"/>
      <c r="L142" s="224"/>
      <c r="M142" s="46"/>
      <c r="N142" s="46"/>
      <c r="O142" s="46"/>
      <c r="P142" s="65"/>
      <c r="Q142" s="48"/>
    </row>
    <row r="143" spans="1:17" ht="12">
      <c r="A143" s="192"/>
      <c r="B143" s="161"/>
      <c r="C143" s="161"/>
      <c r="D143" s="161"/>
      <c r="E143" s="161"/>
      <c r="F143" s="161"/>
      <c r="G143" s="161"/>
      <c r="H143" s="253"/>
      <c r="I143" s="253"/>
      <c r="J143" s="253"/>
      <c r="K143" s="278"/>
      <c r="L143" s="279"/>
      <c r="M143" s="46"/>
      <c r="N143" s="46"/>
      <c r="O143" s="46"/>
      <c r="P143" s="65"/>
      <c r="Q143" s="48"/>
    </row>
    <row r="144" spans="1:17" ht="12">
      <c r="A144" s="221"/>
      <c r="B144" s="222"/>
      <c r="C144" s="222"/>
      <c r="D144" s="222"/>
      <c r="E144" s="222"/>
      <c r="F144" s="222"/>
      <c r="G144" s="223"/>
      <c r="H144" s="151">
        <v>0</v>
      </c>
      <c r="I144" s="152">
        <v>0.25</v>
      </c>
      <c r="J144" s="151">
        <v>1</v>
      </c>
      <c r="K144" s="223"/>
      <c r="L144" s="67"/>
      <c r="M144" s="46"/>
      <c r="N144" s="298"/>
      <c r="O144" s="46"/>
      <c r="P144" s="65"/>
      <c r="Q144" s="48"/>
    </row>
    <row r="145" spans="1:17" ht="47.25" customHeight="1">
      <c r="A145" s="157" t="s">
        <v>568</v>
      </c>
      <c r="B145" s="148"/>
      <c r="C145" s="148"/>
      <c r="D145" s="148"/>
      <c r="E145" s="148"/>
      <c r="F145" s="148"/>
      <c r="G145" s="161"/>
      <c r="H145" s="229" t="s">
        <v>569</v>
      </c>
      <c r="I145" s="229" t="s">
        <v>570</v>
      </c>
      <c r="J145" s="229" t="s">
        <v>571</v>
      </c>
      <c r="K145" s="162" t="s">
        <v>304</v>
      </c>
      <c r="L145" s="163" t="s">
        <v>458</v>
      </c>
      <c r="M145" s="46"/>
      <c r="N145" s="298"/>
      <c r="O145" s="46"/>
      <c r="P145" s="65"/>
      <c r="Q145" s="48"/>
    </row>
    <row r="146" spans="1:17" ht="12">
      <c r="A146" s="539" t="s">
        <v>572</v>
      </c>
      <c r="B146" s="539"/>
      <c r="C146" s="539"/>
      <c r="D146" s="539"/>
      <c r="E146" s="539"/>
      <c r="F146" s="539"/>
      <c r="G146" s="539"/>
      <c r="H146" s="208"/>
      <c r="I146" s="166"/>
      <c r="J146" s="166"/>
      <c r="K146" s="167"/>
      <c r="L146" s="167"/>
      <c r="M146" s="46"/>
      <c r="N146" s="46"/>
      <c r="O146" s="46"/>
      <c r="P146" s="65"/>
      <c r="Q146" s="48"/>
    </row>
    <row r="147" spans="1:17" ht="12">
      <c r="A147" s="221"/>
      <c r="B147" s="222"/>
      <c r="C147" s="222"/>
      <c r="D147" s="222"/>
      <c r="E147" s="222"/>
      <c r="F147" s="222"/>
      <c r="G147" s="67"/>
      <c r="H147" s="540" t="s">
        <v>296</v>
      </c>
      <c r="I147" s="540"/>
      <c r="J147" s="540"/>
      <c r="K147" s="280" t="str">
        <f>IF(AND(NOT(EXACT(I141,"")),NOT(EXACT(I142,""))),P137/2/100,IF(AND(NOT(EXACT(I141,"")),EXACT(H141,"")),P137/100,"6~12%"))</f>
        <v>6~12%</v>
      </c>
      <c r="L147" s="230">
        <f>IF(AND(EXACT(H146,""),EXACT(I146,""),EXACT(J146,"")),"",IF(NOT(EXACT(J146,"")),IF(NOT(EXACT(K147,"")),K147*J144,""),IF(NOT(EXACT(I146,"")),IF(NOT(EXACT(K147,"")),K147*I144,""),IF(NOT(EXACT(H146,"")),IF(NOT(EXACT(K147,"")),K147*H144,"")))))</f>
      </c>
      <c r="M147" s="46"/>
      <c r="N147" s="46"/>
      <c r="O147" s="46"/>
      <c r="P147" s="65"/>
      <c r="Q147" s="48"/>
    </row>
    <row r="148" spans="1:17" ht="12">
      <c r="A148" s="168"/>
      <c r="B148" s="148"/>
      <c r="C148" s="148"/>
      <c r="D148" s="169"/>
      <c r="E148" s="148"/>
      <c r="F148" s="169"/>
      <c r="G148" s="48"/>
      <c r="H148" s="226"/>
      <c r="I148" s="226"/>
      <c r="J148" s="226"/>
      <c r="K148" s="281"/>
      <c r="L148" s="282"/>
      <c r="M148" s="46"/>
      <c r="N148" s="46"/>
      <c r="O148" s="46"/>
      <c r="P148" s="65"/>
      <c r="Q148" s="48"/>
    </row>
    <row r="149" spans="1:17" ht="13.5" customHeight="1">
      <c r="A149" s="221"/>
      <c r="B149" s="222"/>
      <c r="C149" s="222"/>
      <c r="D149" s="222"/>
      <c r="E149" s="222"/>
      <c r="F149" s="222"/>
      <c r="G149" s="223"/>
      <c r="H149" s="151">
        <v>0</v>
      </c>
      <c r="I149" s="152">
        <v>0.25</v>
      </c>
      <c r="J149" s="151">
        <v>1</v>
      </c>
      <c r="K149" s="223"/>
      <c r="L149" s="67"/>
      <c r="P149" s="65"/>
      <c r="Q149" s="48"/>
    </row>
    <row r="150" spans="1:17" ht="48.75" customHeight="1">
      <c r="A150" s="157" t="s">
        <v>436</v>
      </c>
      <c r="B150" s="148"/>
      <c r="C150" s="148"/>
      <c r="D150" s="148"/>
      <c r="E150" s="148"/>
      <c r="F150" s="148"/>
      <c r="G150" s="161"/>
      <c r="H150" s="229" t="s">
        <v>569</v>
      </c>
      <c r="I150" s="229" t="s">
        <v>570</v>
      </c>
      <c r="J150" s="229" t="s">
        <v>571</v>
      </c>
      <c r="K150" s="162" t="s">
        <v>304</v>
      </c>
      <c r="L150" s="163" t="s">
        <v>458</v>
      </c>
      <c r="P150" s="65"/>
      <c r="Q150" s="48"/>
    </row>
    <row r="151" spans="1:17" ht="13.5" customHeight="1">
      <c r="A151" s="258" t="s">
        <v>435</v>
      </c>
      <c r="B151" s="259"/>
      <c r="C151" s="259"/>
      <c r="D151" s="259"/>
      <c r="E151" s="259"/>
      <c r="F151" s="259"/>
      <c r="G151" s="306"/>
      <c r="H151" s="208"/>
      <c r="I151" s="166"/>
      <c r="J151" s="166"/>
      <c r="K151" s="167"/>
      <c r="L151" s="167"/>
      <c r="P151" s="65"/>
      <c r="Q151" s="48"/>
    </row>
    <row r="152" spans="1:17" ht="13.5" customHeight="1">
      <c r="A152" s="221"/>
      <c r="B152" s="222"/>
      <c r="C152" s="222"/>
      <c r="D152" s="222"/>
      <c r="E152" s="222"/>
      <c r="F152" s="222"/>
      <c r="G152" s="67"/>
      <c r="H152" s="540" t="s">
        <v>296</v>
      </c>
      <c r="I152" s="540"/>
      <c r="J152" s="540"/>
      <c r="K152" s="280" t="str">
        <f>IF(AND(NOT(EXACT(I141,"")),NOT(EXACT(I142,""))),P137/2/100,IF(AND(NOT(EXACT(I142,"")),EXACT(H142,"")),P137/100,"6~12%"))</f>
        <v>6~12%</v>
      </c>
      <c r="L152" s="230">
        <f>IF(AND(EXACT(H151,""),EXACT(I151,""),EXACT(J151,"")),"",IF(NOT(EXACT(J151,"")),IF(NOT(EXACT(K152,"")),K152*J149,""),IF(NOT(EXACT(I151,"")),IF(NOT(EXACT(K152,"")),K152*I149,""),IF(NOT(EXACT(H151,"")),IF(NOT(EXACT(K152,"")),K152*H149,"")))))</f>
      </c>
      <c r="P152" s="65"/>
      <c r="Q152" s="48"/>
    </row>
    <row r="153" spans="1:17" ht="13.5" customHeight="1">
      <c r="A153" s="214"/>
      <c r="B153" s="159"/>
      <c r="C153" s="159"/>
      <c r="D153" s="283"/>
      <c r="E153" s="159"/>
      <c r="F153" s="283"/>
      <c r="G153" s="284"/>
      <c r="H153" s="285"/>
      <c r="I153" s="285"/>
      <c r="J153" s="285"/>
      <c r="K153" s="286"/>
      <c r="L153" s="287"/>
      <c r="M153" s="175"/>
      <c r="N153" s="175"/>
      <c r="O153" s="175"/>
      <c r="P153" s="68"/>
      <c r="Q153" s="48"/>
    </row>
    <row r="154" spans="1:17" ht="6.75" customHeight="1">
      <c r="A154" s="66"/>
      <c r="B154" s="66"/>
      <c r="C154" s="66"/>
      <c r="D154" s="66"/>
      <c r="E154" s="66"/>
      <c r="F154" s="66"/>
      <c r="Q154" s="310"/>
    </row>
    <row r="155" spans="1:17" ht="15.75" customHeight="1">
      <c r="A155" s="54" t="s">
        <v>447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177" t="s">
        <v>296</v>
      </c>
      <c r="N155" s="145">
        <f>IF(AND(NOT(EXACT(L165,"")),NOT(EXACT(L170,""))),(L165+L170)*100,IF(AND(EXACT(L165,""),NOT(EXACT(L170,""))),L170*100,IF(AND(NOT(EXACT(L165,"")),EXACT(L170,"")),L165*100,0)))</f>
        <v>0</v>
      </c>
      <c r="O155" s="55" t="s">
        <v>297</v>
      </c>
      <c r="P155" s="146">
        <f>(K165+K170)*100</f>
        <v>8</v>
      </c>
      <c r="Q155" s="180"/>
    </row>
    <row r="156" spans="1:17" ht="13.5" customHeight="1">
      <c r="A156" s="57"/>
      <c r="B156" s="148"/>
      <c r="C156" s="148"/>
      <c r="D156" s="148"/>
      <c r="E156" s="148"/>
      <c r="F156" s="148"/>
      <c r="G156" s="46"/>
      <c r="H156" s="46"/>
      <c r="I156" s="46"/>
      <c r="J156" s="46"/>
      <c r="K156" s="46"/>
      <c r="L156" s="46"/>
      <c r="M156" s="183" t="s">
        <v>452</v>
      </c>
      <c r="N156" s="150"/>
      <c r="O156" s="150"/>
      <c r="P156" s="65"/>
      <c r="Q156" s="48"/>
    </row>
    <row r="157" spans="1:17" ht="13.5" customHeight="1">
      <c r="A157" s="221"/>
      <c r="B157" s="222"/>
      <c r="C157" s="222"/>
      <c r="D157" s="222"/>
      <c r="E157" s="222"/>
      <c r="F157" s="222"/>
      <c r="G157" s="223"/>
      <c r="H157" s="151">
        <v>0</v>
      </c>
      <c r="I157" s="152">
        <v>0.5</v>
      </c>
      <c r="J157" s="151">
        <v>1</v>
      </c>
      <c r="K157" s="223"/>
      <c r="L157" s="67"/>
      <c r="M157" s="201"/>
      <c r="N157" s="202"/>
      <c r="O157" s="202"/>
      <c r="P157" s="199" t="s">
        <v>329</v>
      </c>
      <c r="Q157" s="317"/>
    </row>
    <row r="158" spans="1:17" ht="13.5" customHeight="1">
      <c r="A158" s="57"/>
      <c r="B158" s="148"/>
      <c r="C158" s="148"/>
      <c r="D158" s="231" t="s">
        <v>481</v>
      </c>
      <c r="E158" s="148"/>
      <c r="F158" s="559" t="s">
        <v>482</v>
      </c>
      <c r="G158" s="46"/>
      <c r="H158" s="544" t="s">
        <v>483</v>
      </c>
      <c r="I158" s="544" t="s">
        <v>477</v>
      </c>
      <c r="J158" s="544" t="s">
        <v>333</v>
      </c>
      <c r="K158" s="46"/>
      <c r="L158" s="46"/>
      <c r="M158" s="201"/>
      <c r="N158" s="202"/>
      <c r="O158" s="202"/>
      <c r="P158" s="199"/>
      <c r="Q158" s="317"/>
    </row>
    <row r="159" spans="1:17" ht="25.5" customHeight="1">
      <c r="A159" s="57"/>
      <c r="B159" s="148"/>
      <c r="C159" s="148"/>
      <c r="D159" s="232" t="s">
        <v>484</v>
      </c>
      <c r="E159" s="148"/>
      <c r="F159" s="559"/>
      <c r="G159" s="161"/>
      <c r="H159" s="544"/>
      <c r="I159" s="544"/>
      <c r="J159" s="544"/>
      <c r="K159" s="162" t="s">
        <v>304</v>
      </c>
      <c r="L159" s="203" t="s">
        <v>458</v>
      </c>
      <c r="M159" s="192"/>
      <c r="N159" s="46"/>
      <c r="O159" s="46"/>
      <c r="P159" s="65"/>
      <c r="Q159" s="48"/>
    </row>
    <row r="160" spans="1:17" ht="13.5" customHeight="1">
      <c r="A160" s="539" t="s">
        <v>485</v>
      </c>
      <c r="B160" s="539"/>
      <c r="C160" s="539"/>
      <c r="D160" s="189">
        <v>0</v>
      </c>
      <c r="E160" s="233"/>
      <c r="F160" s="234" t="s">
        <v>336</v>
      </c>
      <c r="G160" s="235"/>
      <c r="H160" s="236" t="str">
        <f>IF(EXACT($D160,"0"),"x","")</f>
        <v>x</v>
      </c>
      <c r="I160" s="236">
        <f>IF(AND(NOT(EXACT(D160,"")),D160&lt;20,D160&lt;&gt;0),"x","")</f>
      </c>
      <c r="J160" s="236">
        <f>IF(AND(NOT(EXACT(D160,"")),D160&lt;20),"","x")</f>
      </c>
      <c r="K160" s="224">
        <f>$K$165/5</f>
        <v>0.01</v>
      </c>
      <c r="L160" s="237">
        <f>IF(AND(EXACT(H160,""),EXACT(I160,""),EXACT(J160,"")),"",IF(NOT(EXACT(J160,"")),IF(NOT(EXACT(K160,"")),K160*$J$157,""),IF(NOT(EXACT(I160,"")),IF(NOT(EXACT(K160,"")),K160*$I$157,""),IF(NOT(EXACT(H160,"")),IF(NOT(EXACT(K160,"")),K160*$H$157,"")))))</f>
        <v>0</v>
      </c>
      <c r="M160" s="192"/>
      <c r="N160" s="46"/>
      <c r="O160" s="46"/>
      <c r="P160" s="65"/>
      <c r="Q160" s="48"/>
    </row>
    <row r="161" spans="1:17" ht="13.5" customHeight="1">
      <c r="A161" s="539" t="s">
        <v>486</v>
      </c>
      <c r="B161" s="539"/>
      <c r="C161" s="539"/>
      <c r="D161" s="189">
        <v>0</v>
      </c>
      <c r="E161" s="233"/>
      <c r="F161" s="234" t="s">
        <v>338</v>
      </c>
      <c r="G161" s="235"/>
      <c r="H161" s="236" t="str">
        <f>IF(EXACT($D161,"0"),"x","")</f>
        <v>x</v>
      </c>
      <c r="I161" s="236">
        <f>IF(AND(NOT(EXACT(D161,"")),OR(D161&lt;10,D161&gt;35),D161&lt;&gt;0),"x","")</f>
      </c>
      <c r="J161" s="236">
        <f>IF(AND(NOT(EXACT(D161,"")),OR(D161&lt;10,D161&gt;35)),"","x")</f>
      </c>
      <c r="K161" s="224">
        <f>$K$165/5</f>
        <v>0.01</v>
      </c>
      <c r="L161" s="237">
        <f>IF(AND(EXACT(H161,""),EXACT(I161,""),EXACT(J161,"")),"",IF(NOT(EXACT(J161,"")),IF(NOT(EXACT(K161,"")),K161*$J$157,""),IF(NOT(EXACT(I161,"")),IF(NOT(EXACT(K161,"")),K161*$I$157,""),IF(NOT(EXACT(H161,"")),IF(NOT(EXACT(K161,"")),K161*$H$157,"")))))</f>
        <v>0</v>
      </c>
      <c r="M161" s="192"/>
      <c r="N161" s="46"/>
      <c r="O161" s="46"/>
      <c r="P161" s="307"/>
      <c r="Q161" s="169"/>
    </row>
    <row r="162" spans="1:17" ht="13.5" customHeight="1">
      <c r="A162" s="539" t="s">
        <v>487</v>
      </c>
      <c r="B162" s="539"/>
      <c r="C162" s="539"/>
      <c r="D162" s="189">
        <v>0</v>
      </c>
      <c r="E162" s="233"/>
      <c r="F162" s="234" t="s">
        <v>340</v>
      </c>
      <c r="G162" s="235"/>
      <c r="H162" s="236" t="str">
        <f>IF(EXACT($D162,"0"),"x","")</f>
        <v>x</v>
      </c>
      <c r="I162" s="236">
        <f>IF(AND(NOT(EXACT(D162,"")),OR(D162&lt;10,D162&gt;40),D162&lt;&gt;0),"x","")</f>
      </c>
      <c r="J162" s="236">
        <f>IF(AND(NOT(EXACT(D162,"")),OR(D162&lt;10,D162&gt;40)),"","x")</f>
      </c>
      <c r="K162" s="224">
        <f>$K$165/5</f>
        <v>0.01</v>
      </c>
      <c r="L162" s="237">
        <f>IF(AND(EXACT(H162,""),EXACT(I162,""),EXACT(J162,"")),"",IF(NOT(EXACT(J162,"")),IF(NOT(EXACT(K162,"")),K162*$J$157,""),IF(NOT(EXACT(I162,"")),IF(NOT(EXACT(K162,"")),K162*$I$157,""),IF(NOT(EXACT(H162,"")),IF(NOT(EXACT(K162,"")),K162*$H$157,"")))))</f>
        <v>0</v>
      </c>
      <c r="M162" s="192"/>
      <c r="N162" s="46"/>
      <c r="O162" s="46"/>
      <c r="P162" s="65"/>
      <c r="Q162" s="48"/>
    </row>
    <row r="163" spans="1:17" ht="13.5" customHeight="1">
      <c r="A163" s="539" t="s">
        <v>488</v>
      </c>
      <c r="B163" s="539"/>
      <c r="C163" s="539"/>
      <c r="D163" s="189">
        <v>0</v>
      </c>
      <c r="E163" s="233"/>
      <c r="F163" s="234" t="s">
        <v>342</v>
      </c>
      <c r="G163" s="235"/>
      <c r="H163" s="236" t="str">
        <f>IF(EXACT($D163,"0"),"x","")</f>
        <v>x</v>
      </c>
      <c r="I163" s="236">
        <f>IF(AND(NOT(EXACT(D163,"")),OR(D163&lt;2,D163&gt;6),D163&lt;&gt;0),"x","")</f>
      </c>
      <c r="J163" s="236">
        <f>IF(AND(NOT(EXACT(D163,"")),OR(D163&lt;2,D163&gt;6)),"","x")</f>
      </c>
      <c r="K163" s="224">
        <f>$K$165/5</f>
        <v>0.01</v>
      </c>
      <c r="L163" s="237">
        <f>IF(AND(EXACT(H163,""),EXACT(I163,""),EXACT(J163,"")),"",IF(NOT(EXACT(J163,"")),IF(NOT(EXACT(K163,"")),K163*$J$157,""),IF(NOT(EXACT(I163,"")),IF(NOT(EXACT(K163,"")),K163*$I$157,""),IF(NOT(EXACT(H163,"")),IF(NOT(EXACT(K163,"")),K163*$H$157,"")))))</f>
        <v>0</v>
      </c>
      <c r="M163" s="192"/>
      <c r="N163" s="46"/>
      <c r="O163" s="46"/>
      <c r="P163" s="65"/>
      <c r="Q163" s="48"/>
    </row>
    <row r="164" spans="1:17" ht="13.5" customHeight="1">
      <c r="A164" s="539" t="s">
        <v>489</v>
      </c>
      <c r="B164" s="539"/>
      <c r="C164" s="539"/>
      <c r="D164" s="189">
        <v>0</v>
      </c>
      <c r="E164" s="233"/>
      <c r="F164" s="234" t="s">
        <v>344</v>
      </c>
      <c r="G164" s="235"/>
      <c r="H164" s="236" t="str">
        <f>IF(EXACT($D164,"0"),"x","")</f>
        <v>x</v>
      </c>
      <c r="I164" s="236">
        <f>IF(AND(NOT(EXACT(D164,"")),D164&lt;=40,D164&lt;&gt;0),"x","")</f>
      </c>
      <c r="J164" s="236">
        <f>IF(AND(NOT(EXACT(D164,"")),D164&lt;=40),"","x")</f>
      </c>
      <c r="K164" s="224">
        <f>$K$165/5</f>
        <v>0.01</v>
      </c>
      <c r="L164" s="237">
        <f>IF(AND(EXACT(H164,""),EXACT(I164,""),EXACT(J164,"")),"",IF(NOT(EXACT(J164,"")),IF(NOT(EXACT(K164,"")),K164*$J$157,""),IF(NOT(EXACT(I164,"")),IF(NOT(EXACT(K164,"")),K164*$I$157,""),IF(NOT(EXACT(H164,"")),IF(NOT(EXACT(K164,"")),K164*$H$157,"")))))</f>
        <v>0</v>
      </c>
      <c r="M164" s="192"/>
      <c r="N164" s="46"/>
      <c r="O164" s="46"/>
      <c r="P164" s="65"/>
      <c r="Q164" s="48"/>
    </row>
    <row r="165" spans="1:17" ht="13.5" customHeight="1">
      <c r="A165" s="57"/>
      <c r="B165" s="148"/>
      <c r="C165" s="148"/>
      <c r="D165" s="148"/>
      <c r="E165" s="148"/>
      <c r="F165" s="148"/>
      <c r="G165" s="65"/>
      <c r="H165" s="540" t="s">
        <v>296</v>
      </c>
      <c r="I165" s="540"/>
      <c r="J165" s="540"/>
      <c r="K165" s="171">
        <v>0.05</v>
      </c>
      <c r="L165" s="225">
        <f>SUM(L160:L164)</f>
        <v>0</v>
      </c>
      <c r="M165" s="192"/>
      <c r="N165" s="46"/>
      <c r="O165" s="46"/>
      <c r="P165" s="65"/>
      <c r="Q165" s="48"/>
    </row>
    <row r="166" spans="1:17" ht="13.5" customHeight="1">
      <c r="A166" s="192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192"/>
      <c r="N166" s="46"/>
      <c r="O166" s="46"/>
      <c r="P166" s="65"/>
      <c r="Q166" s="48"/>
    </row>
    <row r="167" spans="1:17" ht="12">
      <c r="A167" s="221"/>
      <c r="B167" s="222"/>
      <c r="C167" s="222"/>
      <c r="D167" s="222"/>
      <c r="E167" s="222"/>
      <c r="F167" s="222"/>
      <c r="G167" s="223"/>
      <c r="H167" s="151">
        <v>0</v>
      </c>
      <c r="I167" s="152">
        <v>0.5</v>
      </c>
      <c r="J167" s="151">
        <v>1</v>
      </c>
      <c r="K167" s="223"/>
      <c r="L167" s="67"/>
      <c r="M167" s="192"/>
      <c r="N167" s="46"/>
      <c r="O167" s="46"/>
      <c r="P167" s="65"/>
      <c r="Q167" s="48"/>
    </row>
    <row r="168" spans="1:17" ht="33.75" customHeight="1">
      <c r="A168" s="57"/>
      <c r="B168" s="148"/>
      <c r="C168" s="148"/>
      <c r="D168" s="148"/>
      <c r="E168" s="148"/>
      <c r="F168" s="148"/>
      <c r="G168" s="161"/>
      <c r="H168" s="229" t="s">
        <v>634</v>
      </c>
      <c r="I168" s="229" t="s">
        <v>464</v>
      </c>
      <c r="J168" s="229" t="s">
        <v>493</v>
      </c>
      <c r="K168" s="162" t="s">
        <v>304</v>
      </c>
      <c r="L168" s="163" t="s">
        <v>458</v>
      </c>
      <c r="M168" s="46"/>
      <c r="N168" s="46"/>
      <c r="O168" s="46"/>
      <c r="P168" s="65"/>
      <c r="Q168" s="48"/>
    </row>
    <row r="169" spans="1:17" ht="12">
      <c r="A169" s="539" t="s">
        <v>494</v>
      </c>
      <c r="B169" s="539"/>
      <c r="C169" s="539"/>
      <c r="D169" s="539"/>
      <c r="E169" s="539"/>
      <c r="F169" s="539"/>
      <c r="G169" s="539"/>
      <c r="H169" s="208"/>
      <c r="I169" s="166"/>
      <c r="J169" s="166"/>
      <c r="K169" s="167"/>
      <c r="L169" s="167"/>
      <c r="M169" s="46"/>
      <c r="N169" s="46"/>
      <c r="O169" s="46"/>
      <c r="P169" s="65"/>
      <c r="Q169" s="48"/>
    </row>
    <row r="170" spans="1:17" ht="12">
      <c r="A170" s="57"/>
      <c r="B170" s="148"/>
      <c r="C170" s="148"/>
      <c r="D170" s="148"/>
      <c r="E170" s="148"/>
      <c r="F170" s="148"/>
      <c r="G170" s="65"/>
      <c r="H170" s="540" t="s">
        <v>296</v>
      </c>
      <c r="I170" s="540"/>
      <c r="J170" s="540"/>
      <c r="K170" s="171">
        <v>0.03</v>
      </c>
      <c r="L170" s="230">
        <f>IF(AND(EXACT(H169,""),EXACT(I169,""),EXACT(J169,"")),"",IF(NOT(EXACT(J169,"")),IF(NOT(EXACT(K170,"")),K170*J167,""),IF(NOT(EXACT(I169,"")),IF(NOT(EXACT(K170,"")),K170*I167,""),IF(NOT(EXACT(H169,"")),IF(NOT(EXACT(K170,"")),K170*H167,"")))))</f>
      </c>
      <c r="M170" s="46"/>
      <c r="N170" s="46"/>
      <c r="O170" s="46"/>
      <c r="P170" s="65"/>
      <c r="Q170" s="48"/>
    </row>
    <row r="171" spans="1:17" ht="12">
      <c r="A171" s="219"/>
      <c r="B171" s="240"/>
      <c r="C171" s="240"/>
      <c r="D171" s="240"/>
      <c r="E171" s="240"/>
      <c r="F171" s="240"/>
      <c r="G171" s="240"/>
      <c r="H171" s="159"/>
      <c r="I171" s="159"/>
      <c r="J171" s="159"/>
      <c r="K171" s="241"/>
      <c r="L171" s="241"/>
      <c r="M171" s="219"/>
      <c r="N171" s="175"/>
      <c r="O171" s="175"/>
      <c r="P171" s="68"/>
      <c r="Q171" s="48"/>
    </row>
    <row r="172" spans="1:17" ht="13.5" customHeight="1">
      <c r="A172" s="66"/>
      <c r="B172" s="66"/>
      <c r="C172" s="66"/>
      <c r="D172" s="66"/>
      <c r="E172" s="66"/>
      <c r="F172" s="66"/>
      <c r="Q172" s="310"/>
    </row>
    <row r="173" spans="1:17" ht="13.5" customHeight="1">
      <c r="A173" s="66"/>
      <c r="B173" s="66"/>
      <c r="C173" s="66"/>
      <c r="D173" s="66"/>
      <c r="E173" s="66"/>
      <c r="F173" s="66"/>
      <c r="Q173" s="310"/>
    </row>
    <row r="174" spans="1:17" ht="13.5" customHeight="1">
      <c r="A174" s="66"/>
      <c r="B174" s="66"/>
      <c r="C174" s="66"/>
      <c r="D174" s="66"/>
      <c r="E174" s="66"/>
      <c r="F174" s="66"/>
      <c r="Q174" s="310"/>
    </row>
    <row r="175" spans="1:17" ht="13.5" customHeight="1">
      <c r="A175" s="66"/>
      <c r="B175" s="66"/>
      <c r="C175" s="66"/>
      <c r="D175" s="66"/>
      <c r="E175" s="66"/>
      <c r="F175" s="66"/>
      <c r="Q175" s="310"/>
    </row>
    <row r="176" spans="1:17" ht="15">
      <c r="A176" s="54" t="s">
        <v>449</v>
      </c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 t="s">
        <v>296</v>
      </c>
      <c r="N176" s="145">
        <f>IF(AND(NOT(EXACT(L183,"")),NOT(EXACT(L188,"")),NOT(EXACT(L193,""))),(L183+L188+L193)*100,0)</f>
        <v>0</v>
      </c>
      <c r="O176" s="55" t="s">
        <v>297</v>
      </c>
      <c r="P176" s="146">
        <f>(K183+K188+K193)*100</f>
        <v>20</v>
      </c>
      <c r="Q176" s="180"/>
    </row>
    <row r="177" spans="1:17" ht="13.5" customHeight="1">
      <c r="A177" s="57"/>
      <c r="B177" s="148"/>
      <c r="C177" s="148"/>
      <c r="D177" s="148"/>
      <c r="E177" s="148"/>
      <c r="F177" s="148"/>
      <c r="G177" s="46"/>
      <c r="H177" s="46"/>
      <c r="I177" s="46"/>
      <c r="J177" s="46"/>
      <c r="K177" s="46"/>
      <c r="L177" s="46"/>
      <c r="M177" s="149" t="s">
        <v>452</v>
      </c>
      <c r="N177" s="150"/>
      <c r="O177" s="150"/>
      <c r="P177" s="65"/>
      <c r="Q177" s="48"/>
    </row>
    <row r="178" spans="1:17" ht="12">
      <c r="A178" s="221"/>
      <c r="B178" s="222"/>
      <c r="C178" s="222"/>
      <c r="D178" s="222"/>
      <c r="E178" s="222"/>
      <c r="F178" s="222"/>
      <c r="G178" s="223"/>
      <c r="H178" s="151">
        <v>0</v>
      </c>
      <c r="I178" s="152">
        <v>0.5</v>
      </c>
      <c r="J178" s="152">
        <v>1</v>
      </c>
      <c r="K178" s="223"/>
      <c r="L178" s="67"/>
      <c r="M178" s="201"/>
      <c r="N178" s="202"/>
      <c r="O178" s="202"/>
      <c r="P178" s="65"/>
      <c r="Q178" s="48"/>
    </row>
    <row r="179" spans="1:17" ht="13.5" customHeight="1">
      <c r="A179" s="57"/>
      <c r="B179" s="148"/>
      <c r="C179" s="148"/>
      <c r="D179" s="153"/>
      <c r="E179" s="148"/>
      <c r="F179" s="543"/>
      <c r="G179" s="46"/>
      <c r="H179" s="544" t="s">
        <v>495</v>
      </c>
      <c r="I179" s="544" t="s">
        <v>464</v>
      </c>
      <c r="J179" s="544" t="s">
        <v>465</v>
      </c>
      <c r="K179" s="46"/>
      <c r="L179" s="46"/>
      <c r="M179" s="155"/>
      <c r="N179" s="156"/>
      <c r="O179" s="156"/>
      <c r="P179" s="65"/>
      <c r="Q179" s="48"/>
    </row>
    <row r="180" spans="1:17" ht="27.75" customHeight="1">
      <c r="A180" s="157" t="s">
        <v>496</v>
      </c>
      <c r="B180" s="148"/>
      <c r="C180" s="148"/>
      <c r="D180" s="158"/>
      <c r="E180" s="159"/>
      <c r="F180" s="543"/>
      <c r="G180" s="161"/>
      <c r="H180" s="544"/>
      <c r="I180" s="544"/>
      <c r="J180" s="544"/>
      <c r="K180" s="162" t="s">
        <v>304</v>
      </c>
      <c r="L180" s="203" t="s">
        <v>458</v>
      </c>
      <c r="M180" s="155" t="s">
        <v>624</v>
      </c>
      <c r="N180" s="156"/>
      <c r="O180" s="156"/>
      <c r="P180" s="65"/>
      <c r="Q180" s="48"/>
    </row>
    <row r="181" spans="1:17" ht="12.75" customHeight="1">
      <c r="A181" s="539" t="s">
        <v>497</v>
      </c>
      <c r="B181" s="539"/>
      <c r="C181" s="539"/>
      <c r="D181" s="539"/>
      <c r="E181" s="539"/>
      <c r="F181" s="539"/>
      <c r="G181" s="539"/>
      <c r="H181" s="208"/>
      <c r="I181" s="208"/>
      <c r="J181" s="208"/>
      <c r="K181" s="224">
        <v>0.03</v>
      </c>
      <c r="L181" s="210">
        <f>IF(AND(EXACT(H181,""),EXACT(I181,""),EXACT(J181,"")),"",IF(NOT(EXACT(J181,"")),IF(NOT(EXACT(K181,"")),K181*$J$178,""),IF(NOT(EXACT(I181,"")),IF(NOT(EXACT(K181,"")),K181*$I$178,""),IF(NOT(EXACT(H181,"")),IF(NOT(EXACT(K181,"")),K181*$H$178,"")))))</f>
      </c>
      <c r="M181" s="592" t="s">
        <v>637</v>
      </c>
      <c r="N181" s="592"/>
      <c r="O181" s="592"/>
      <c r="P181" s="592"/>
      <c r="Q181" s="48"/>
    </row>
    <row r="182" spans="1:17" ht="12">
      <c r="A182" s="258" t="s">
        <v>603</v>
      </c>
      <c r="B182" s="259"/>
      <c r="C182" s="259"/>
      <c r="D182" s="302"/>
      <c r="E182" s="259"/>
      <c r="F182" s="302"/>
      <c r="G182" s="303"/>
      <c r="H182" s="208"/>
      <c r="I182" s="208"/>
      <c r="J182" s="208"/>
      <c r="K182" s="224">
        <v>0.02</v>
      </c>
      <c r="L182" s="210">
        <f>IF(AND(EXACT(H182,""),EXACT(I182,""),EXACT(J182,"")),"",IF(NOT(EXACT(J182,"")),IF(NOT(EXACT(K182,"")),K182*$J$178,""),IF(NOT(EXACT(I182,"")),IF(NOT(EXACT(K182,"")),K182*$I$178,""),IF(NOT(EXACT(H182,"")),IF(NOT(EXACT(K182,"")),K182*$H$178,"")))))</f>
      </c>
      <c r="M182" s="592"/>
      <c r="N182" s="592"/>
      <c r="O182" s="592"/>
      <c r="P182" s="592"/>
      <c r="Q182" s="48"/>
    </row>
    <row r="183" spans="1:17" ht="12">
      <c r="A183" s="168"/>
      <c r="B183" s="148"/>
      <c r="C183" s="148"/>
      <c r="D183" s="169"/>
      <c r="E183" s="148"/>
      <c r="F183" s="169"/>
      <c r="G183" s="48"/>
      <c r="H183" s="540" t="s">
        <v>296</v>
      </c>
      <c r="I183" s="540"/>
      <c r="J183" s="540"/>
      <c r="K183" s="171">
        <f>SUM(K181:K182)</f>
        <v>0.05</v>
      </c>
      <c r="L183" s="225">
        <f>IF(AND(OR(NOT(EXACT(H181,"")),NOT(EXACT(I181,"")),NOT(EXACT(J181,""))),OR(NOT(EXACT(H182,"")),NOT(EXACT(I182,"")),NOT(EXACT(J182,"")))),SUM(L181:L182),"")</f>
      </c>
      <c r="M183" s="192"/>
      <c r="N183" s="46"/>
      <c r="O183" s="46"/>
      <c r="P183" s="49"/>
      <c r="Q183" s="48"/>
    </row>
    <row r="184" spans="1:17" ht="12">
      <c r="A184" s="192"/>
      <c r="B184" s="161"/>
      <c r="C184" s="161"/>
      <c r="D184" s="161"/>
      <c r="E184" s="161"/>
      <c r="F184" s="161"/>
      <c r="G184" s="161"/>
      <c r="H184" s="148"/>
      <c r="I184" s="148"/>
      <c r="J184" s="148"/>
      <c r="K184" s="220"/>
      <c r="L184" s="220"/>
      <c r="M184" s="192"/>
      <c r="N184" s="46"/>
      <c r="O184" s="46"/>
      <c r="P184" s="65"/>
      <c r="Q184" s="48"/>
    </row>
    <row r="185" spans="1:17" ht="12">
      <c r="A185" s="221"/>
      <c r="B185" s="222"/>
      <c r="C185" s="222"/>
      <c r="D185" s="222"/>
      <c r="E185" s="222"/>
      <c r="F185" s="222"/>
      <c r="G185" s="223"/>
      <c r="H185" s="151">
        <v>0</v>
      </c>
      <c r="I185" s="152">
        <v>0.5</v>
      </c>
      <c r="J185" s="151">
        <v>1</v>
      </c>
      <c r="K185" s="223"/>
      <c r="L185" s="67"/>
      <c r="M185" s="192"/>
      <c r="N185" s="46"/>
      <c r="O185" s="46"/>
      <c r="P185" s="65"/>
      <c r="Q185" s="48"/>
    </row>
    <row r="186" spans="1:17" ht="37.5" customHeight="1">
      <c r="A186" s="57"/>
      <c r="B186" s="148"/>
      <c r="C186" s="148"/>
      <c r="D186" s="148"/>
      <c r="E186" s="148"/>
      <c r="F186" s="148"/>
      <c r="G186" s="161"/>
      <c r="H186" s="229" t="s">
        <v>634</v>
      </c>
      <c r="I186" s="229" t="s">
        <v>502</v>
      </c>
      <c r="J186" s="229" t="s">
        <v>503</v>
      </c>
      <c r="K186" s="162" t="s">
        <v>304</v>
      </c>
      <c r="L186" s="163" t="s">
        <v>458</v>
      </c>
      <c r="M186" s="46"/>
      <c r="N186" s="46"/>
      <c r="O186" s="46"/>
      <c r="P186" s="65"/>
      <c r="Q186" s="48"/>
    </row>
    <row r="187" spans="1:17" ht="12">
      <c r="A187" s="539" t="s">
        <v>504</v>
      </c>
      <c r="B187" s="539"/>
      <c r="C187" s="539"/>
      <c r="D187" s="539"/>
      <c r="E187" s="539"/>
      <c r="F187" s="539"/>
      <c r="G187" s="539"/>
      <c r="H187" s="208"/>
      <c r="I187" s="166"/>
      <c r="J187" s="166"/>
      <c r="K187" s="167"/>
      <c r="L187" s="167"/>
      <c r="M187" s="46"/>
      <c r="N187" s="46"/>
      <c r="O187" s="46"/>
      <c r="P187" s="65"/>
      <c r="Q187" s="48"/>
    </row>
    <row r="188" spans="1:17" ht="12">
      <c r="A188" s="57"/>
      <c r="B188" s="148"/>
      <c r="C188" s="148"/>
      <c r="D188" s="148"/>
      <c r="E188" s="148"/>
      <c r="F188" s="148"/>
      <c r="G188" s="65"/>
      <c r="H188" s="540" t="s">
        <v>296</v>
      </c>
      <c r="I188" s="540"/>
      <c r="J188" s="540"/>
      <c r="K188" s="171">
        <v>0.05</v>
      </c>
      <c r="L188" s="230">
        <f>IF(AND(EXACT(H187,""),EXACT(I187,""),EXACT(J187,"")),"",IF(NOT(EXACT(J187,"")),IF(NOT(EXACT(K188,"")),K188*J185,""),IF(NOT(EXACT(I187,"")),IF(NOT(EXACT(K188,"")),K188*I185,""),IF(NOT(EXACT(H187,"")),IF(NOT(EXACT(K188,"")),K188*H185,"")))))</f>
      </c>
      <c r="M188" s="46"/>
      <c r="N188" s="46"/>
      <c r="O188" s="46"/>
      <c r="P188" s="65"/>
      <c r="Q188" s="48"/>
    </row>
    <row r="189" spans="1:17" ht="12">
      <c r="A189" s="192"/>
      <c r="B189" s="161"/>
      <c r="C189" s="161"/>
      <c r="D189" s="161"/>
      <c r="E189" s="161"/>
      <c r="F189" s="161"/>
      <c r="G189" s="161"/>
      <c r="H189" s="148"/>
      <c r="I189" s="148"/>
      <c r="J189" s="148"/>
      <c r="K189" s="220"/>
      <c r="L189" s="220"/>
      <c r="M189" s="192"/>
      <c r="N189" s="46"/>
      <c r="O189" s="46"/>
      <c r="P189" s="65"/>
      <c r="Q189" s="48"/>
    </row>
    <row r="190" spans="1:17" ht="12">
      <c r="A190" s="221"/>
      <c r="B190" s="222"/>
      <c r="C190" s="222"/>
      <c r="D190" s="222"/>
      <c r="E190" s="222"/>
      <c r="F190" s="222"/>
      <c r="G190" s="223"/>
      <c r="H190" s="151">
        <v>0</v>
      </c>
      <c r="I190" s="152">
        <v>0.5</v>
      </c>
      <c r="J190" s="151">
        <v>1</v>
      </c>
      <c r="K190" s="223"/>
      <c r="L190" s="67"/>
      <c r="M190" s="192"/>
      <c r="N190" s="46"/>
      <c r="O190" s="46"/>
      <c r="P190" s="65"/>
      <c r="Q190" s="48"/>
    </row>
    <row r="191" spans="1:17" ht="30" customHeight="1">
      <c r="A191" s="57"/>
      <c r="B191" s="148"/>
      <c r="C191" s="148"/>
      <c r="D191" s="148"/>
      <c r="E191" s="148"/>
      <c r="F191" s="148"/>
      <c r="G191" s="161"/>
      <c r="H191" s="229" t="s">
        <v>453</v>
      </c>
      <c r="I191" s="229" t="s">
        <v>505</v>
      </c>
      <c r="J191" s="229" t="s">
        <v>506</v>
      </c>
      <c r="K191" s="162" t="s">
        <v>304</v>
      </c>
      <c r="L191" s="163" t="s">
        <v>458</v>
      </c>
      <c r="M191" s="155" t="s">
        <v>624</v>
      </c>
      <c r="N191" s="156"/>
      <c r="O191" s="156"/>
      <c r="P191" s="65"/>
      <c r="Q191" s="48"/>
    </row>
    <row r="192" spans="1:17" ht="12.75" customHeight="1">
      <c r="A192" s="539" t="s">
        <v>507</v>
      </c>
      <c r="B192" s="539"/>
      <c r="C192" s="539"/>
      <c r="D192" s="539"/>
      <c r="E192" s="539"/>
      <c r="F192" s="539"/>
      <c r="G192" s="539"/>
      <c r="H192" s="208"/>
      <c r="I192" s="166"/>
      <c r="J192" s="166"/>
      <c r="K192" s="167"/>
      <c r="L192" s="167"/>
      <c r="M192" s="572" t="s">
        <v>508</v>
      </c>
      <c r="N192" s="572"/>
      <c r="O192" s="572"/>
      <c r="P192" s="572"/>
      <c r="Q192" s="48"/>
    </row>
    <row r="193" spans="1:17" ht="12">
      <c r="A193" s="57"/>
      <c r="B193" s="148"/>
      <c r="C193" s="148"/>
      <c r="D193" s="148"/>
      <c r="E193" s="148"/>
      <c r="F193" s="148"/>
      <c r="G193" s="65"/>
      <c r="H193" s="540" t="s">
        <v>296</v>
      </c>
      <c r="I193" s="540"/>
      <c r="J193" s="540"/>
      <c r="K193" s="171">
        <v>0.1</v>
      </c>
      <c r="L193" s="230">
        <f>IF(AND(EXACT(H192,""),EXACT(I192,""),EXACT(J192,"")),"",IF(NOT(EXACT(J192,"")),IF(NOT(EXACT(K193,"")),K193*J190,""),IF(NOT(EXACT(I192,"")),IF(NOT(EXACT(K193,"")),K193*I190,""),IF(NOT(EXACT(H192,"")),IF(NOT(EXACT(K193,"")),K193*H190,"")))))</f>
      </c>
      <c r="M193" s="572"/>
      <c r="N193" s="572"/>
      <c r="O193" s="572"/>
      <c r="P193" s="572"/>
      <c r="Q193" s="48"/>
    </row>
    <row r="194" spans="1:17" ht="13.5" customHeight="1">
      <c r="A194" s="219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572"/>
      <c r="N194" s="572"/>
      <c r="O194" s="572"/>
      <c r="P194" s="572"/>
      <c r="Q194" s="48"/>
    </row>
    <row r="195" spans="1:17" ht="7.5" customHeight="1">
      <c r="A195" s="242"/>
      <c r="B195" s="242"/>
      <c r="C195" s="242"/>
      <c r="D195" s="242"/>
      <c r="E195" s="242"/>
      <c r="F195" s="242"/>
      <c r="Q195" s="310"/>
    </row>
    <row r="196" spans="1:17" ht="15">
      <c r="A196" s="54" t="s">
        <v>638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 t="s">
        <v>296</v>
      </c>
      <c r="N196" s="145">
        <f>IF(NOT(EXACT(L208,"")),L208*100,0)</f>
        <v>0</v>
      </c>
      <c r="O196" s="55" t="s">
        <v>297</v>
      </c>
      <c r="P196" s="146">
        <f>K208*100</f>
        <v>6</v>
      </c>
      <c r="Q196" s="180"/>
    </row>
    <row r="197" spans="1:17" ht="12">
      <c r="A197" s="57"/>
      <c r="B197" s="148"/>
      <c r="C197" s="148"/>
      <c r="D197" s="148"/>
      <c r="E197" s="148"/>
      <c r="F197" s="222"/>
      <c r="G197" s="223"/>
      <c r="H197" s="223"/>
      <c r="I197" s="223"/>
      <c r="J197" s="223"/>
      <c r="K197" s="223"/>
      <c r="L197" s="67"/>
      <c r="M197" s="244"/>
      <c r="N197" s="223"/>
      <c r="O197" s="223"/>
      <c r="P197" s="67"/>
      <c r="Q197" s="48"/>
    </row>
    <row r="198" spans="1:17" ht="12">
      <c r="A198" s="186" t="s">
        <v>639</v>
      </c>
      <c r="B198" s="187"/>
      <c r="C198" s="187"/>
      <c r="D198" s="187"/>
      <c r="E198" s="187"/>
      <c r="F198" s="187"/>
      <c r="G198" s="188"/>
      <c r="H198" s="548"/>
      <c r="I198" s="548"/>
      <c r="J198" s="548"/>
      <c r="K198" s="190"/>
      <c r="L198" s="191"/>
      <c r="M198" s="201"/>
      <c r="N198" s="202"/>
      <c r="O198" s="202"/>
      <c r="P198" s="199"/>
      <c r="Q198" s="317"/>
    </row>
    <row r="199" spans="1:17" ht="12">
      <c r="A199" s="193"/>
      <c r="B199" s="161"/>
      <c r="C199" s="161"/>
      <c r="D199" s="161"/>
      <c r="E199" s="161"/>
      <c r="F199" s="161"/>
      <c r="G199" s="194"/>
      <c r="H199" s="195">
        <v>0</v>
      </c>
      <c r="I199" s="196">
        <v>0.75</v>
      </c>
      <c r="J199" s="195">
        <v>1</v>
      </c>
      <c r="K199" s="197"/>
      <c r="L199" s="154"/>
      <c r="M199" s="192"/>
      <c r="N199" s="46"/>
      <c r="O199" s="46"/>
      <c r="P199" s="65"/>
      <c r="Q199" s="48"/>
    </row>
    <row r="200" spans="1:17" ht="12.75" customHeight="1">
      <c r="A200" s="198"/>
      <c r="B200" s="148"/>
      <c r="C200" s="148"/>
      <c r="D200" s="148"/>
      <c r="E200" s="148"/>
      <c r="F200" s="148"/>
      <c r="G200" s="199"/>
      <c r="H200" s="544" t="s">
        <v>640</v>
      </c>
      <c r="I200" s="544" t="s">
        <v>641</v>
      </c>
      <c r="J200" s="544" t="s">
        <v>642</v>
      </c>
      <c r="K200" s="200"/>
      <c r="L200" s="160"/>
      <c r="M200" s="192"/>
      <c r="N200" s="46"/>
      <c r="O200" s="46"/>
      <c r="P200" s="65"/>
      <c r="Q200" s="48"/>
    </row>
    <row r="201" spans="1:17" ht="36" customHeight="1">
      <c r="A201" s="198"/>
      <c r="B201" s="257" t="s">
        <v>643</v>
      </c>
      <c r="C201" s="148"/>
      <c r="D201" s="148"/>
      <c r="E201" s="148"/>
      <c r="F201" s="148"/>
      <c r="G201" s="199"/>
      <c r="H201" s="544"/>
      <c r="I201" s="544"/>
      <c r="J201" s="544"/>
      <c r="K201" s="162" t="s">
        <v>304</v>
      </c>
      <c r="L201" s="203" t="s">
        <v>458</v>
      </c>
      <c r="M201" s="192"/>
      <c r="N201" s="46"/>
      <c r="O201" s="46"/>
      <c r="P201" s="65"/>
      <c r="Q201" s="48"/>
    </row>
    <row r="202" spans="1:17" ht="12">
      <c r="A202" s="204"/>
      <c r="B202" s="205" t="s">
        <v>644</v>
      </c>
      <c r="C202" s="206"/>
      <c r="D202" s="322"/>
      <c r="E202" s="546"/>
      <c r="F202" s="546"/>
      <c r="G202" s="546"/>
      <c r="H202" s="207"/>
      <c r="I202" s="207"/>
      <c r="J202" s="208"/>
      <c r="K202" s="209">
        <f>IF($H$198&gt;=1,$K$208/$H$198,"")</f>
      </c>
      <c r="L202" s="210">
        <f>IF(OR(AND(EXACT(H202,""),EXACT(I202,""),EXACT(J202,"")),EXACT($H$198,"")),"",IF(NOT(EXACT(J202,"")),IF(NOT(EXACT(K202,"")),K202*J199,""),IF(NOT(EXACT(I202,"")),IF(NOT(EXACT(K202,"")),K202*I199,""),IF(NOT(EXACT(H202,"")),IF(NOT(EXACT(K202,"")),K202*H199,"")))))</f>
      </c>
      <c r="M202" s="192"/>
      <c r="N202" s="46"/>
      <c r="O202" s="46"/>
      <c r="P202" s="65"/>
      <c r="Q202" s="48"/>
    </row>
    <row r="203" spans="1:17" ht="12">
      <c r="A203" s="204"/>
      <c r="B203" s="205" t="s">
        <v>645</v>
      </c>
      <c r="C203" s="212"/>
      <c r="D203" s="323"/>
      <c r="E203" s="547"/>
      <c r="F203" s="547"/>
      <c r="G203" s="547"/>
      <c r="H203" s="207"/>
      <c r="I203" s="207"/>
      <c r="J203" s="208"/>
      <c r="K203" s="209">
        <f>IF($H$198&gt;=2,$K$208/$H$198,"")</f>
      </c>
      <c r="L203" s="210">
        <f>IF(OR(AND(EXACT(H203,""),EXACT(I203,""),EXACT(J203,"")),EXACT($H$198,"")),"",IF(NOT(EXACT(J203,"")),IF(NOT(EXACT(K203,"")),K203*J199,""),IF(NOT(EXACT(I203,"")),IF(NOT(EXACT(K203,"")),K203*I199,""),IF(NOT(EXACT(H203,"")),IF(NOT(EXACT(K203,"")),K203*H199,"")))))</f>
      </c>
      <c r="M203" s="192"/>
      <c r="N203" s="46"/>
      <c r="O203" s="46"/>
      <c r="P203" s="65"/>
      <c r="Q203" s="48"/>
    </row>
    <row r="204" spans="1:17" ht="12">
      <c r="A204" s="204"/>
      <c r="B204" s="205" t="s">
        <v>646</v>
      </c>
      <c r="C204" s="212"/>
      <c r="D204" s="323"/>
      <c r="E204" s="547"/>
      <c r="F204" s="547"/>
      <c r="G204" s="547"/>
      <c r="H204" s="207"/>
      <c r="I204" s="207"/>
      <c r="J204" s="208"/>
      <c r="K204" s="209">
        <f>IF($H$198&gt;=3,$K$208/$H$198,"")</f>
      </c>
      <c r="L204" s="210">
        <f>IF(OR(AND(EXACT(H204,""),EXACT(I204,""),EXACT(J204,"")),EXACT($H$198,"")),"",IF(NOT(EXACT(J204,"")),IF(NOT(EXACT(K204,"")),K204*J199,""),IF(NOT(EXACT(I204,"")),IF(NOT(EXACT(K204,"")),K204*I199,""),IF(NOT(EXACT(H204,"")),IF(NOT(EXACT(K204,"")),K204*H199,"")))))</f>
      </c>
      <c r="M204" s="192"/>
      <c r="N204" s="46"/>
      <c r="O204" s="46"/>
      <c r="P204" s="65"/>
      <c r="Q204" s="48"/>
    </row>
    <row r="205" spans="1:17" ht="12">
      <c r="A205" s="204"/>
      <c r="B205" s="205" t="s">
        <v>647</v>
      </c>
      <c r="C205" s="212"/>
      <c r="D205" s="323"/>
      <c r="E205" s="547"/>
      <c r="F205" s="547"/>
      <c r="G205" s="547"/>
      <c r="H205" s="207"/>
      <c r="I205" s="207"/>
      <c r="J205" s="208"/>
      <c r="K205" s="209">
        <f>IF($H$198&gt;=4,$K$208/$H$198,"")</f>
      </c>
      <c r="L205" s="210">
        <f>IF(OR(AND(EXACT(H205,""),EXACT(I205,""),EXACT(J205,"")),EXACT($H$198,"")),"",IF(NOT(EXACT(J205,"")),IF(NOT(EXACT(K205,"")),K205*J199,""),IF(NOT(EXACT(I205,"")),IF(NOT(EXACT(K205,"")),K205*I199,""),IF(NOT(EXACT(H205,"")),IF(NOT(EXACT(K205,"")),K205*H199,"")))))</f>
      </c>
      <c r="M205" s="192"/>
      <c r="N205" s="46"/>
      <c r="O205" s="46"/>
      <c r="P205" s="65"/>
      <c r="Q205" s="48"/>
    </row>
    <row r="206" spans="1:17" ht="12">
      <c r="A206" s="204"/>
      <c r="B206" s="205" t="s">
        <v>648</v>
      </c>
      <c r="C206" s="212"/>
      <c r="D206" s="323"/>
      <c r="E206" s="547"/>
      <c r="F206" s="547"/>
      <c r="G206" s="547"/>
      <c r="H206" s="207"/>
      <c r="I206" s="207"/>
      <c r="J206" s="208"/>
      <c r="K206" s="209">
        <f>IF($H$198&gt;=5,$K$208/$H$198,"")</f>
      </c>
      <c r="L206" s="210">
        <f>IF(OR(AND(EXACT(H206,""),EXACT(I206,""),EXACT(J206,"")),EXACT($H$198,"")),"",IF(NOT(EXACT(J206,"")),IF(NOT(EXACT(K206,"")),K206*J199,""),IF(NOT(EXACT(I206,"")),IF(NOT(EXACT(K206,"")),K206*I199,""),IF(NOT(EXACT(H206,"")),IF(NOT(EXACT(K206,"")),K206*H199,"")))))</f>
      </c>
      <c r="M206" s="192"/>
      <c r="N206" s="46"/>
      <c r="O206" s="46"/>
      <c r="P206" s="65"/>
      <c r="Q206" s="48"/>
    </row>
    <row r="207" spans="1:17" ht="12">
      <c r="A207" s="204"/>
      <c r="B207" s="324" t="s">
        <v>649</v>
      </c>
      <c r="C207" s="215"/>
      <c r="D207" s="325"/>
      <c r="E207" s="542"/>
      <c r="F207" s="542"/>
      <c r="G207" s="542"/>
      <c r="H207" s="207"/>
      <c r="I207" s="207"/>
      <c r="J207" s="208"/>
      <c r="K207" s="209">
        <f>IF($H$198&gt;=6,$K$208/$H$198,"")</f>
      </c>
      <c r="L207" s="210">
        <f>IF(OR(AND(EXACT(H207,""),EXACT(I207,""),EXACT(J207,"")),EXACT($H$198,"")),"",IF(NOT(EXACT(J207,"")),IF(NOT(EXACT(K207,"")),K207*J199,""),IF(NOT(EXACT(I207,"")),IF(NOT(EXACT(K207,"")),K207*I199,""),IF(NOT(EXACT(H207,"")),IF(NOT(EXACT(K207,"")),K207*H199,"")))))</f>
      </c>
      <c r="M207" s="192"/>
      <c r="N207" s="46"/>
      <c r="O207" s="46"/>
      <c r="P207" s="65"/>
      <c r="Q207" s="48"/>
    </row>
    <row r="208" spans="1:17" ht="12">
      <c r="A208" s="192"/>
      <c r="B208" s="161"/>
      <c r="C208" s="161"/>
      <c r="D208" s="161"/>
      <c r="E208" s="161"/>
      <c r="F208" s="161"/>
      <c r="G208" s="161"/>
      <c r="H208" s="540" t="s">
        <v>296</v>
      </c>
      <c r="I208" s="540"/>
      <c r="J208" s="540"/>
      <c r="K208" s="171">
        <v>0.06</v>
      </c>
      <c r="L208" s="218">
        <f>IF(EXACT(H198,""),"",IF(H198=0,K208,SUM(L202:L207)))</f>
      </c>
      <c r="M208" s="192"/>
      <c r="N208" s="46"/>
      <c r="O208" s="46"/>
      <c r="P208" s="65"/>
      <c r="Q208" s="48"/>
    </row>
    <row r="209" spans="1:17" ht="12">
      <c r="A209" s="57"/>
      <c r="B209" s="148"/>
      <c r="C209" s="148"/>
      <c r="D209" s="148"/>
      <c r="E209" s="148"/>
      <c r="F209" s="148"/>
      <c r="G209" s="46"/>
      <c r="H209" s="46"/>
      <c r="I209" s="46"/>
      <c r="J209" s="46"/>
      <c r="K209" s="46"/>
      <c r="L209" s="65"/>
      <c r="M209" s="192"/>
      <c r="N209" s="46"/>
      <c r="O209" s="46"/>
      <c r="P209" s="65"/>
      <c r="Q209" s="48"/>
    </row>
    <row r="210" spans="1:17" ht="12">
      <c r="A210" s="308"/>
      <c r="B210" s="259"/>
      <c r="C210" s="259"/>
      <c r="D210" s="259"/>
      <c r="E210" s="259"/>
      <c r="F210" s="259"/>
      <c r="G210" s="309"/>
      <c r="H210" s="309"/>
      <c r="I210" s="309"/>
      <c r="J210" s="309"/>
      <c r="K210" s="309"/>
      <c r="L210" s="309"/>
      <c r="M210" s="309"/>
      <c r="N210" s="309"/>
      <c r="O210" s="309"/>
      <c r="P210" s="306"/>
      <c r="Q210" s="48"/>
    </row>
    <row r="211" spans="1:25" s="326" customFormat="1" ht="15">
      <c r="A211" s="54" t="s">
        <v>445</v>
      </c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 t="s">
        <v>296</v>
      </c>
      <c r="N211" s="145">
        <f>IF(NOT(EXACT(L219,"")),L219*100,0)</f>
        <v>0</v>
      </c>
      <c r="O211" s="55" t="s">
        <v>297</v>
      </c>
      <c r="P211" s="146">
        <f>K219*100</f>
        <v>13</v>
      </c>
      <c r="Q211" s="243"/>
      <c r="R211" s="180"/>
      <c r="S211" s="180"/>
      <c r="T211" s="180"/>
      <c r="U211" s="180"/>
      <c r="V211" s="180"/>
      <c r="W211" s="180"/>
      <c r="X211" s="180"/>
      <c r="Y211" s="180"/>
    </row>
    <row r="212" spans="1:246" s="46" customFormat="1" ht="12">
      <c r="A212" s="57"/>
      <c r="B212" s="148"/>
      <c r="C212" s="148"/>
      <c r="D212" s="148"/>
      <c r="E212" s="148"/>
      <c r="F212" s="222"/>
      <c r="G212" s="223"/>
      <c r="H212" s="223"/>
      <c r="I212" s="223"/>
      <c r="J212" s="223"/>
      <c r="K212" s="223"/>
      <c r="L212" s="67"/>
      <c r="M212" s="244"/>
      <c r="N212" s="223"/>
      <c r="O212" s="223"/>
      <c r="P212" s="67"/>
      <c r="Q212" s="57"/>
      <c r="R212" s="148"/>
      <c r="S212" s="148"/>
      <c r="T212" s="148"/>
      <c r="U212" s="148"/>
      <c r="V212" s="148"/>
      <c r="AG212" s="148"/>
      <c r="AH212" s="148"/>
      <c r="AI212" s="148"/>
      <c r="AJ212" s="148"/>
      <c r="AK212" s="148"/>
      <c r="AL212" s="148"/>
      <c r="AW212" s="148"/>
      <c r="AX212" s="148"/>
      <c r="AY212" s="148"/>
      <c r="AZ212" s="148"/>
      <c r="BA212" s="148"/>
      <c r="BB212" s="148"/>
      <c r="BM212" s="148"/>
      <c r="BN212" s="148"/>
      <c r="BO212" s="148"/>
      <c r="BP212" s="148"/>
      <c r="BQ212" s="148"/>
      <c r="BR212" s="148"/>
      <c r="CC212" s="148"/>
      <c r="CD212" s="148"/>
      <c r="CE212" s="148"/>
      <c r="CF212" s="148"/>
      <c r="CG212" s="148"/>
      <c r="CH212" s="148"/>
      <c r="CS212" s="148"/>
      <c r="CT212" s="148"/>
      <c r="CU212" s="148"/>
      <c r="CV212" s="148"/>
      <c r="CW212" s="148"/>
      <c r="CX212" s="148"/>
      <c r="DI212" s="148"/>
      <c r="DJ212" s="148"/>
      <c r="DK212" s="148"/>
      <c r="DL212" s="148"/>
      <c r="DM212" s="148"/>
      <c r="DN212" s="148"/>
      <c r="DY212" s="148"/>
      <c r="DZ212" s="148"/>
      <c r="EA212" s="148"/>
      <c r="EB212" s="148"/>
      <c r="EC212" s="148"/>
      <c r="ED212" s="148"/>
      <c r="EO212" s="148"/>
      <c r="EP212" s="148"/>
      <c r="EQ212" s="148"/>
      <c r="ER212" s="148"/>
      <c r="ES212" s="148"/>
      <c r="ET212" s="148"/>
      <c r="FE212" s="148"/>
      <c r="FF212" s="148"/>
      <c r="FG212" s="148"/>
      <c r="FH212" s="148"/>
      <c r="FI212" s="148"/>
      <c r="FJ212" s="148"/>
      <c r="FU212" s="148"/>
      <c r="FV212" s="148"/>
      <c r="FW212" s="148"/>
      <c r="FX212" s="148"/>
      <c r="FY212" s="148"/>
      <c r="FZ212" s="148"/>
      <c r="GK212" s="148"/>
      <c r="GL212" s="148"/>
      <c r="GM212" s="148"/>
      <c r="GN212" s="148"/>
      <c r="GO212" s="148"/>
      <c r="GP212" s="148"/>
      <c r="HA212" s="148"/>
      <c r="HB212" s="148"/>
      <c r="HC212" s="148"/>
      <c r="HD212" s="148"/>
      <c r="HE212" s="148"/>
      <c r="HF212" s="148"/>
      <c r="HQ212" s="148"/>
      <c r="HR212" s="148"/>
      <c r="HS212" s="148"/>
      <c r="HT212" s="148"/>
      <c r="HU212" s="148"/>
      <c r="HV212" s="148"/>
      <c r="IG212" s="148"/>
      <c r="IH212" s="148"/>
      <c r="II212" s="148"/>
      <c r="IJ212" s="148"/>
      <c r="IK212" s="148"/>
      <c r="IL212" s="148"/>
    </row>
    <row r="213" spans="1:17" s="46" customFormat="1" ht="12">
      <c r="A213" s="221"/>
      <c r="B213" s="222"/>
      <c r="C213" s="222"/>
      <c r="D213" s="222"/>
      <c r="E213" s="222"/>
      <c r="F213" s="222"/>
      <c r="G213" s="223"/>
      <c r="H213" s="151">
        <v>0</v>
      </c>
      <c r="I213" s="152">
        <v>0.5</v>
      </c>
      <c r="J213" s="151">
        <v>1</v>
      </c>
      <c r="K213" s="223"/>
      <c r="L213" s="67"/>
      <c r="M213" s="192"/>
      <c r="P213" s="65"/>
      <c r="Q213" s="47"/>
    </row>
    <row r="214" spans="1:17" s="46" customFormat="1" ht="30" customHeight="1">
      <c r="A214" s="157"/>
      <c r="B214" s="148"/>
      <c r="C214" s="148"/>
      <c r="D214" s="148"/>
      <c r="E214" s="148"/>
      <c r="F214" s="148"/>
      <c r="G214" s="161"/>
      <c r="H214" s="229" t="s">
        <v>453</v>
      </c>
      <c r="I214" s="229" t="s">
        <v>454</v>
      </c>
      <c r="J214" s="229" t="s">
        <v>455</v>
      </c>
      <c r="K214" s="162" t="s">
        <v>304</v>
      </c>
      <c r="L214" s="163" t="s">
        <v>458</v>
      </c>
      <c r="P214" s="65"/>
      <c r="Q214" s="47"/>
    </row>
    <row r="215" spans="1:17" s="46" customFormat="1" ht="12">
      <c r="A215" s="539" t="s">
        <v>509</v>
      </c>
      <c r="B215" s="539"/>
      <c r="C215" s="539"/>
      <c r="D215" s="539"/>
      <c r="E215" s="539"/>
      <c r="F215" s="539"/>
      <c r="G215" s="539"/>
      <c r="H215" s="208"/>
      <c r="I215" s="166"/>
      <c r="J215" s="166"/>
      <c r="K215" s="224">
        <v>0.04</v>
      </c>
      <c r="L215" s="209">
        <f>IF(AND(EXACT(H215,""),EXACT(I215,""),EXACT(J215,"")),"",IF(NOT(EXACT(J215,"")),IF(NOT(EXACT(K215,"")),K215*$J$213,""),IF(NOT(EXACT(I215,"")),IF(NOT(EXACT(K215,"")),K215*$I$213,""),IF(NOT(EXACT(H215,"")),IF(NOT(EXACT(K215,"")),K215*$H$213,"")))))</f>
      </c>
      <c r="M215" s="156" t="s">
        <v>456</v>
      </c>
      <c r="P215" s="65"/>
      <c r="Q215" s="47"/>
    </row>
    <row r="216" spans="1:17" s="46" customFormat="1" ht="12.75" customHeight="1">
      <c r="A216" s="539" t="s">
        <v>510</v>
      </c>
      <c r="B216" s="539"/>
      <c r="C216" s="539"/>
      <c r="D216" s="539"/>
      <c r="E216" s="539"/>
      <c r="F216" s="539"/>
      <c r="G216" s="539"/>
      <c r="H216" s="208"/>
      <c r="I216" s="166"/>
      <c r="J216" s="166"/>
      <c r="K216" s="224">
        <v>0.05</v>
      </c>
      <c r="L216" s="209">
        <f>IF(AND(EXACT(H216,""),EXACT(I216,""),EXACT(J216,"")),"",IF(NOT(EXACT(J216,"")),IF(NOT(EXACT(K216,"")),K216*$J$213,""),IF(NOT(EXACT(I216,"")),IF(NOT(EXACT(K216,"")),K216*$I$213,""),IF(NOT(EXACT(H216,"")),IF(NOT(EXACT(K216,"")),K216*$H$213,"")))))</f>
      </c>
      <c r="M216" s="549" t="s">
        <v>479</v>
      </c>
      <c r="N216" s="549"/>
      <c r="O216" s="549"/>
      <c r="P216" s="549"/>
      <c r="Q216" s="47"/>
    </row>
    <row r="217" spans="1:17" s="46" customFormat="1" ht="12">
      <c r="A217" s="539" t="s">
        <v>491</v>
      </c>
      <c r="B217" s="539"/>
      <c r="C217" s="539"/>
      <c r="D217" s="539"/>
      <c r="E217" s="539"/>
      <c r="F217" s="539"/>
      <c r="G217" s="539"/>
      <c r="H217" s="208"/>
      <c r="I217" s="166"/>
      <c r="J217" s="166"/>
      <c r="K217" s="224">
        <v>0.02</v>
      </c>
      <c r="L217" s="209">
        <f>IF(AND(EXACT(H217,""),EXACT(I217,""),EXACT(J217,"")),"",IF(NOT(EXACT(J217,"")),IF(NOT(EXACT(K217,"")),K217*$J$213,""),IF(NOT(EXACT(I217,"")),IF(NOT(EXACT(K217,"")),K217*$I$213,""),IF(NOT(EXACT(H217,"")),IF(NOT(EXACT(K217,"")),K217*$H$213,"")))))</f>
      </c>
      <c r="M217" s="549"/>
      <c r="N217" s="549"/>
      <c r="O217" s="549"/>
      <c r="P217" s="549"/>
      <c r="Q217" s="47"/>
    </row>
    <row r="218" spans="1:17" s="46" customFormat="1" ht="12">
      <c r="A218" s="539" t="s">
        <v>511</v>
      </c>
      <c r="B218" s="539"/>
      <c r="C218" s="539"/>
      <c r="D218" s="539"/>
      <c r="E218" s="539"/>
      <c r="F218" s="539"/>
      <c r="G218" s="539"/>
      <c r="H218" s="208"/>
      <c r="I218" s="166"/>
      <c r="J218" s="166"/>
      <c r="K218" s="224">
        <v>0.02</v>
      </c>
      <c r="L218" s="209">
        <f>IF(AND(EXACT(H218,""),EXACT(I218,""),EXACT(J218,"")),"",IF(NOT(EXACT(J218,"")),IF(NOT(EXACT(K218,"")),K218*$J$213,""),IF(NOT(EXACT(I218,"")),IF(NOT(EXACT(K218,"")),K218*$I$213,""),IF(NOT(EXACT(H218,"")),IF(NOT(EXACT(K218,"")),K218*$H$213,"")))))</f>
      </c>
      <c r="M218" s="549"/>
      <c r="N218" s="549"/>
      <c r="O218" s="549"/>
      <c r="P218" s="549"/>
      <c r="Q218" s="47"/>
    </row>
    <row r="219" spans="1:17" s="46" customFormat="1" ht="12">
      <c r="A219" s="57"/>
      <c r="B219" s="148"/>
      <c r="C219" s="148"/>
      <c r="D219" s="148"/>
      <c r="E219" s="148"/>
      <c r="F219" s="148"/>
      <c r="G219" s="65"/>
      <c r="H219" s="540" t="s">
        <v>296</v>
      </c>
      <c r="I219" s="540"/>
      <c r="J219" s="540"/>
      <c r="K219" s="171">
        <f>SUM(K215:K218)</f>
        <v>0.13</v>
      </c>
      <c r="L219" s="230">
        <f>IF(AND(NOT(EXACT(L215,"")),NOT(EXACT(L216,"")),NOT(EXACT(L217,"")),NOT(EXACT(L218,""))),SUM(L215:L218),"")</f>
      </c>
      <c r="P219" s="65"/>
      <c r="Q219" s="47"/>
    </row>
    <row r="220" spans="1:246" s="202" customFormat="1" ht="12">
      <c r="A220" s="57"/>
      <c r="B220" s="148"/>
      <c r="C220" s="148"/>
      <c r="D220" s="148"/>
      <c r="E220" s="148"/>
      <c r="F220" s="148"/>
      <c r="L220" s="199"/>
      <c r="M220" s="201"/>
      <c r="P220" s="199"/>
      <c r="Q220" s="57"/>
      <c r="R220" s="148"/>
      <c r="S220" s="148"/>
      <c r="T220" s="148"/>
      <c r="U220" s="148"/>
      <c r="V220" s="148"/>
      <c r="AG220" s="148"/>
      <c r="AH220" s="148"/>
      <c r="AI220" s="148"/>
      <c r="AJ220" s="148"/>
      <c r="AK220" s="148"/>
      <c r="AL220" s="148"/>
      <c r="AW220" s="148"/>
      <c r="AX220" s="148"/>
      <c r="AY220" s="148"/>
      <c r="AZ220" s="148"/>
      <c r="BA220" s="148"/>
      <c r="BB220" s="148"/>
      <c r="BM220" s="148"/>
      <c r="BN220" s="148"/>
      <c r="BO220" s="148"/>
      <c r="BP220" s="148"/>
      <c r="BQ220" s="148"/>
      <c r="BR220" s="148"/>
      <c r="CC220" s="148"/>
      <c r="CD220" s="148"/>
      <c r="CE220" s="148"/>
      <c r="CF220" s="148"/>
      <c r="CG220" s="148"/>
      <c r="CH220" s="148"/>
      <c r="CS220" s="148"/>
      <c r="CT220" s="148"/>
      <c r="CU220" s="148"/>
      <c r="CV220" s="148"/>
      <c r="CW220" s="148"/>
      <c r="CX220" s="148"/>
      <c r="DI220" s="148"/>
      <c r="DJ220" s="148"/>
      <c r="DK220" s="148"/>
      <c r="DL220" s="148"/>
      <c r="DM220" s="148"/>
      <c r="DN220" s="148"/>
      <c r="DY220" s="148"/>
      <c r="DZ220" s="148"/>
      <c r="EA220" s="148"/>
      <c r="EB220" s="148"/>
      <c r="EC220" s="148"/>
      <c r="ED220" s="148"/>
      <c r="EO220" s="148"/>
      <c r="EP220" s="148"/>
      <c r="EQ220" s="148"/>
      <c r="ER220" s="148"/>
      <c r="ES220" s="148"/>
      <c r="ET220" s="148"/>
      <c r="FE220" s="148"/>
      <c r="FF220" s="148"/>
      <c r="FG220" s="148"/>
      <c r="FH220" s="148"/>
      <c r="FI220" s="148"/>
      <c r="FJ220" s="148"/>
      <c r="FU220" s="148"/>
      <c r="FV220" s="148"/>
      <c r="FW220" s="148"/>
      <c r="FX220" s="148"/>
      <c r="FY220" s="148"/>
      <c r="FZ220" s="148"/>
      <c r="GK220" s="148"/>
      <c r="GL220" s="148"/>
      <c r="GM220" s="148"/>
      <c r="GN220" s="148"/>
      <c r="GO220" s="148"/>
      <c r="GP220" s="148"/>
      <c r="HA220" s="148"/>
      <c r="HB220" s="148"/>
      <c r="HC220" s="148"/>
      <c r="HD220" s="148"/>
      <c r="HE220" s="148"/>
      <c r="HF220" s="148"/>
      <c r="HQ220" s="148"/>
      <c r="HR220" s="148"/>
      <c r="HS220" s="148"/>
      <c r="HT220" s="148"/>
      <c r="HU220" s="148"/>
      <c r="HV220" s="148"/>
      <c r="IG220" s="148"/>
      <c r="IH220" s="148"/>
      <c r="II220" s="148"/>
      <c r="IJ220" s="148"/>
      <c r="IK220" s="148"/>
      <c r="IL220" s="148"/>
    </row>
    <row r="221" spans="1:17" ht="6.75" customHeight="1">
      <c r="A221" s="223"/>
      <c r="B221" s="223"/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310"/>
    </row>
    <row r="222" s="256" customFormat="1" ht="12"/>
    <row r="223" s="256" customFormat="1" ht="12"/>
    <row r="225" ht="12">
      <c r="S225" s="288"/>
    </row>
  </sheetData>
  <sheetProtection password="DD05" sheet="1" objects="1" scenarios="1"/>
  <mergeCells count="199">
    <mergeCell ref="A12:B12"/>
    <mergeCell ref="G12:J12"/>
    <mergeCell ref="A2:Q2"/>
    <mergeCell ref="A4:Q4"/>
    <mergeCell ref="A6:C6"/>
    <mergeCell ref="D6:G6"/>
    <mergeCell ref="H6:M6"/>
    <mergeCell ref="N6:P6"/>
    <mergeCell ref="A8:C8"/>
    <mergeCell ref="D8:G8"/>
    <mergeCell ref="H8:M8"/>
    <mergeCell ref="A10:B10"/>
    <mergeCell ref="G10:J10"/>
    <mergeCell ref="A11:B11"/>
    <mergeCell ref="G11:J11"/>
    <mergeCell ref="J29:J30"/>
    <mergeCell ref="B31:C31"/>
    <mergeCell ref="D31:G31"/>
    <mergeCell ref="A13:B13"/>
    <mergeCell ref="G13:J13"/>
    <mergeCell ref="A15:P15"/>
    <mergeCell ref="H21:H22"/>
    <mergeCell ref="I21:I22"/>
    <mergeCell ref="J21:J22"/>
    <mergeCell ref="C37:G37"/>
    <mergeCell ref="B38:C38"/>
    <mergeCell ref="D38:G38"/>
    <mergeCell ref="A23:G23"/>
    <mergeCell ref="A24:G24"/>
    <mergeCell ref="H25:J25"/>
    <mergeCell ref="A27:G27"/>
    <mergeCell ref="H27:J27"/>
    <mergeCell ref="H29:H30"/>
    <mergeCell ref="I29:I30"/>
    <mergeCell ref="M42:P45"/>
    <mergeCell ref="C43:G43"/>
    <mergeCell ref="C44:G44"/>
    <mergeCell ref="B45:C45"/>
    <mergeCell ref="D45:G45"/>
    <mergeCell ref="C32:G32"/>
    <mergeCell ref="C33:G33"/>
    <mergeCell ref="C34:G34"/>
    <mergeCell ref="C35:G35"/>
    <mergeCell ref="C36:G36"/>
    <mergeCell ref="B52:C52"/>
    <mergeCell ref="D52:G52"/>
    <mergeCell ref="C39:G39"/>
    <mergeCell ref="C40:G40"/>
    <mergeCell ref="C41:G41"/>
    <mergeCell ref="C42:G42"/>
    <mergeCell ref="C46:G46"/>
    <mergeCell ref="C47:G47"/>
    <mergeCell ref="C48:G48"/>
    <mergeCell ref="C49:G49"/>
    <mergeCell ref="C50:G50"/>
    <mergeCell ref="C51:G51"/>
    <mergeCell ref="B66:C66"/>
    <mergeCell ref="D66:G66"/>
    <mergeCell ref="C53:G53"/>
    <mergeCell ref="C54:G54"/>
    <mergeCell ref="C55:G55"/>
    <mergeCell ref="C56:G56"/>
    <mergeCell ref="C57:G57"/>
    <mergeCell ref="C58:G58"/>
    <mergeCell ref="B59:C59"/>
    <mergeCell ref="D59:G59"/>
    <mergeCell ref="C60:G60"/>
    <mergeCell ref="C61:G61"/>
    <mergeCell ref="C62:G62"/>
    <mergeCell ref="C63:G63"/>
    <mergeCell ref="C64:G64"/>
    <mergeCell ref="C65:G65"/>
    <mergeCell ref="C67:G67"/>
    <mergeCell ref="C68:G68"/>
    <mergeCell ref="C69:G69"/>
    <mergeCell ref="C70:G70"/>
    <mergeCell ref="M70:P73"/>
    <mergeCell ref="C71:G71"/>
    <mergeCell ref="C72:G72"/>
    <mergeCell ref="H73:J73"/>
    <mergeCell ref="B87:C87"/>
    <mergeCell ref="D87:G87"/>
    <mergeCell ref="H78:J78"/>
    <mergeCell ref="H80:H81"/>
    <mergeCell ref="I80:I81"/>
    <mergeCell ref="J80:J81"/>
    <mergeCell ref="B82:C82"/>
    <mergeCell ref="D82:G82"/>
    <mergeCell ref="B83:C83"/>
    <mergeCell ref="D83:G83"/>
    <mergeCell ref="M92:P93"/>
    <mergeCell ref="A93:G93"/>
    <mergeCell ref="A94:G94"/>
    <mergeCell ref="M94:P95"/>
    <mergeCell ref="B84:C84"/>
    <mergeCell ref="D84:G84"/>
    <mergeCell ref="B85:C85"/>
    <mergeCell ref="D85:G85"/>
    <mergeCell ref="B86:C86"/>
    <mergeCell ref="D86:G86"/>
    <mergeCell ref="D109:G109"/>
    <mergeCell ref="H88:J88"/>
    <mergeCell ref="F91:F92"/>
    <mergeCell ref="H91:H92"/>
    <mergeCell ref="I91:I92"/>
    <mergeCell ref="J91:J92"/>
    <mergeCell ref="B113:C113"/>
    <mergeCell ref="D113:G113"/>
    <mergeCell ref="H96:J96"/>
    <mergeCell ref="A100:G100"/>
    <mergeCell ref="H101:J101"/>
    <mergeCell ref="H105:J105"/>
    <mergeCell ref="H107:H108"/>
    <mergeCell ref="I107:I108"/>
    <mergeCell ref="J107:J108"/>
    <mergeCell ref="B109:C109"/>
    <mergeCell ref="B110:C110"/>
    <mergeCell ref="D110:G110"/>
    <mergeCell ref="B111:C111"/>
    <mergeCell ref="D111:G111"/>
    <mergeCell ref="B112:C112"/>
    <mergeCell ref="D112:G112"/>
    <mergeCell ref="D128:G128"/>
    <mergeCell ref="B114:C114"/>
    <mergeCell ref="D114:G114"/>
    <mergeCell ref="H115:J115"/>
    <mergeCell ref="F118:F119"/>
    <mergeCell ref="H118:H119"/>
    <mergeCell ref="I118:I119"/>
    <mergeCell ref="J118:J119"/>
    <mergeCell ref="D133:G133"/>
    <mergeCell ref="A120:G120"/>
    <mergeCell ref="A121:G121"/>
    <mergeCell ref="H122:J122"/>
    <mergeCell ref="A124:G124"/>
    <mergeCell ref="H124:J124"/>
    <mergeCell ref="H126:H127"/>
    <mergeCell ref="I126:I127"/>
    <mergeCell ref="J126:J127"/>
    <mergeCell ref="B128:C128"/>
    <mergeCell ref="A146:G146"/>
    <mergeCell ref="H147:J147"/>
    <mergeCell ref="B129:C129"/>
    <mergeCell ref="D129:G129"/>
    <mergeCell ref="B130:C130"/>
    <mergeCell ref="B131:C131"/>
    <mergeCell ref="D131:G131"/>
    <mergeCell ref="B132:C132"/>
    <mergeCell ref="D132:G132"/>
    <mergeCell ref="B133:C133"/>
    <mergeCell ref="A161:C161"/>
    <mergeCell ref="A162:C162"/>
    <mergeCell ref="A163:C163"/>
    <mergeCell ref="H134:J134"/>
    <mergeCell ref="F139:F140"/>
    <mergeCell ref="H139:H140"/>
    <mergeCell ref="I139:I140"/>
    <mergeCell ref="J139:J140"/>
    <mergeCell ref="A141:G141"/>
    <mergeCell ref="A142:G142"/>
    <mergeCell ref="H152:J152"/>
    <mergeCell ref="F158:F159"/>
    <mergeCell ref="H158:H159"/>
    <mergeCell ref="I158:I159"/>
    <mergeCell ref="J158:J159"/>
    <mergeCell ref="A160:C160"/>
    <mergeCell ref="A164:C164"/>
    <mergeCell ref="H165:J165"/>
    <mergeCell ref="A169:G169"/>
    <mergeCell ref="H170:J170"/>
    <mergeCell ref="F179:F180"/>
    <mergeCell ref="H179:H180"/>
    <mergeCell ref="I179:I180"/>
    <mergeCell ref="J179:J180"/>
    <mergeCell ref="E205:G205"/>
    <mergeCell ref="A181:G181"/>
    <mergeCell ref="M181:P182"/>
    <mergeCell ref="H183:J183"/>
    <mergeCell ref="A187:G187"/>
    <mergeCell ref="H188:J188"/>
    <mergeCell ref="A192:G192"/>
    <mergeCell ref="M192:P194"/>
    <mergeCell ref="H193:J193"/>
    <mergeCell ref="M216:P218"/>
    <mergeCell ref="A217:G217"/>
    <mergeCell ref="A218:G218"/>
    <mergeCell ref="H198:J198"/>
    <mergeCell ref="H200:H201"/>
    <mergeCell ref="I200:I201"/>
    <mergeCell ref="J200:J201"/>
    <mergeCell ref="E202:G202"/>
    <mergeCell ref="E203:G203"/>
    <mergeCell ref="E204:G204"/>
    <mergeCell ref="E206:G206"/>
    <mergeCell ref="E207:G207"/>
    <mergeCell ref="H208:J208"/>
    <mergeCell ref="A215:G215"/>
    <mergeCell ref="H219:J219"/>
    <mergeCell ref="A216:G216"/>
  </mergeCells>
  <conditionalFormatting sqref="H23:J24 H26:J26 H31:J31 H93:J95 H120:J121 H141:I142 H161:H164 H181:J182 I160:J164 L26 L31 L160:L164">
    <cfRule type="expression" priority="1" dxfId="3" stopIfTrue="1">
      <formula>NOT(EXACT('4b-Progress_fusex'!$D23,""))</formula>
    </cfRule>
  </conditionalFormatting>
  <conditionalFormatting sqref="L23:L24 L93:L95 L120:L121 L181:L182 L215:L218">
    <cfRule type="expression" priority="2" dxfId="3" stopIfTrue="1">
      <formula>OR(NOT(EXACT('4b-Progress_fusex'!#REF!,"")),NOT(EXACT('4b-Progress_fusex'!#REF!,"")),NOT(EXACT('4b-Progress_fusex'!#REF!,"")))</formula>
    </cfRule>
  </conditionalFormatting>
  <conditionalFormatting sqref="L25 L122 L183">
    <cfRule type="expression" priority="3" dxfId="3" stopIfTrue="1">
      <formula>AND(OR(NOT(EXACT('4b-Progress_fusex'!#REF!,"")),NOT(EXACT('4b-Progress_fusex'!#REF!,"")),NOT(EXACT('4b-Progress_fusex'!#REF!,""))),OR(NOT(EXACT('4b-Progress_fusex'!#REF!,"")),NOT(EXACT('4b-Progress_fusex'!#REF!,"")),NOT(EXACT('4b-Progress_fusex'!#REF!,""))))</formula>
    </cfRule>
  </conditionalFormatting>
  <conditionalFormatting sqref="L101 L170 L188 L193">
    <cfRule type="expression" priority="4" dxfId="3" stopIfTrue="1">
      <formula>OR(NOT(EXACT('4b-Progress_fusex'!#REF!,"")),NOT(EXACT('4b-Progress_fusex'!#REF!,"")),NOT(EXACT('4b-Progress_fusex'!#REF!,"")))</formula>
    </cfRule>
  </conditionalFormatting>
  <conditionalFormatting sqref="L96">
    <cfRule type="expression" priority="5" dxfId="3" stopIfTrue="1">
      <formula>AND(OR(NOT(EXACT('4b-Progress_fusex'!#REF!,"")),NOT(EXACT('4b-Progress_fusex'!#REF!,"")),NOT(EXACT('4b-Progress_fusex'!#REF!,""))),OR(NOT(EXACT('4b-Progress_fusex'!#REF!,"")),NOT(EXACT('4b-Progress_fusex'!#REF!,"")),NOT(EXACT('4b-Progress_fusex'!#REF!,""))),OR(NOT(EXACT('4b-Progress_fusex'!#REF!,"")),NOT(EXACT('4b-Progress_fusex'!#REF!,"")),NOT(EXACT('4b-Progress_fusex'!#REF!,""))))</formula>
    </cfRule>
  </conditionalFormatting>
  <conditionalFormatting sqref="L219">
    <cfRule type="expression" priority="6" dxfId="3" stopIfTrue="1">
      <formula>AND(NOT(EXACT('4b-Progress_fusex'!#REF!,"")),NOT(EXACT('4b-Progress_fusex'!#REF!,"")),NOT(EXACT('4b-Progress_fusex'!#REF!,"")),NOT(EXACT('4b-Progress_fusex'!#REF!,"")))</formula>
    </cfRule>
  </conditionalFormatting>
  <conditionalFormatting sqref="L165">
    <cfRule type="expression" priority="7" dxfId="3" stopIfTrue="1">
      <formula>AND(NOT(EXACT('4b-Progress_fusex'!$L$160,"")),NOT(EXACT('4b-Progress_fusex'!$L$161,"")),NOT(EXACT('4b-Progress_fusex'!$L$162,"")),NOT(EXACT('4b-Progress_fusex'!$L$163,"")),NOT(EXACT('4b-Progress_fusex'!$L$164,"")))</formula>
    </cfRule>
  </conditionalFormatting>
  <conditionalFormatting sqref="D109">
    <cfRule type="expression" priority="8" dxfId="3" stopIfTrue="1">
      <formula>AND(NOT(EXACT('4b-Progress_fusex'!$H$105,"")),'4b-Progress_fusex'!$H$105&lt;1)</formula>
    </cfRule>
  </conditionalFormatting>
  <conditionalFormatting sqref="D110">
    <cfRule type="expression" priority="9" dxfId="3" stopIfTrue="1">
      <formula>AND(NOT(EXACT('4b-Progress_fusex'!$H$105,"")),'4b-Progress_fusex'!$H$105&lt;2)</formula>
    </cfRule>
  </conditionalFormatting>
  <conditionalFormatting sqref="D111">
    <cfRule type="expression" priority="10" dxfId="3" stopIfTrue="1">
      <formula>AND(NOT(EXACT('4b-Progress_fusex'!$H$105,"")),'4b-Progress_fusex'!$H$105&lt;3)</formula>
    </cfRule>
  </conditionalFormatting>
  <conditionalFormatting sqref="D112">
    <cfRule type="expression" priority="11" dxfId="3" stopIfTrue="1">
      <formula>AND(NOT(EXACT('4b-Progress_fusex'!$H$105,"")),'4b-Progress_fusex'!$H$105&lt;4)</formula>
    </cfRule>
  </conditionalFormatting>
  <conditionalFormatting sqref="D113">
    <cfRule type="expression" priority="12" dxfId="3" stopIfTrue="1">
      <formula>AND(NOT(EXACT('4b-Progress_fusex'!$H$105,"")),'4b-Progress_fusex'!$H$105&lt;5)</formula>
    </cfRule>
  </conditionalFormatting>
  <conditionalFormatting sqref="D114">
    <cfRule type="expression" priority="13" dxfId="3" stopIfTrue="1">
      <formula>AND(NOT(EXACT('4b-Progress_fusex'!$H$105,"")),'4b-Progress_fusex'!$H$105&lt;6)</formula>
    </cfRule>
  </conditionalFormatting>
  <conditionalFormatting sqref="H109:J109">
    <cfRule type="expression" priority="14" dxfId="27" stopIfTrue="1">
      <formula>AND(NOT(EXACT('4b-Progress_fusex'!$H$105,"")),'4b-Progress_fusex'!$H$105&lt;1)</formula>
    </cfRule>
  </conditionalFormatting>
  <conditionalFormatting sqref="H110:J110">
    <cfRule type="expression" priority="15" dxfId="27" stopIfTrue="1">
      <formula>AND(NOT(EXACT('4b-Progress_fusex'!$H$105,"")),'4b-Progress_fusex'!$H$105&lt;2)</formula>
    </cfRule>
  </conditionalFormatting>
  <conditionalFormatting sqref="H111:J111">
    <cfRule type="expression" priority="16" dxfId="27" stopIfTrue="1">
      <formula>AND(NOT(EXACT('4b-Progress_fusex'!$H$105,"")),'4b-Progress_fusex'!$H$105&lt;3)</formula>
    </cfRule>
  </conditionalFormatting>
  <conditionalFormatting sqref="H112:J112">
    <cfRule type="expression" priority="17" dxfId="27" stopIfTrue="1">
      <formula>AND(NOT(EXACT('4b-Progress_fusex'!$H$105,"")),'4b-Progress_fusex'!$H$105&lt;4)</formula>
    </cfRule>
  </conditionalFormatting>
  <conditionalFormatting sqref="H113:J113">
    <cfRule type="expression" priority="18" dxfId="27" stopIfTrue="1">
      <formula>AND(NOT(EXACT('4b-Progress_fusex'!$H$105,"")),'4b-Progress_fusex'!$H$105&lt;5)</formula>
    </cfRule>
  </conditionalFormatting>
  <conditionalFormatting sqref="H114:J114">
    <cfRule type="expression" priority="19" dxfId="27" stopIfTrue="1">
      <formula>AND(NOT(EXACT('4b-Progress_fusex'!$H$105,"")),'4b-Progress_fusex'!$H$105&lt;6)</formula>
    </cfRule>
  </conditionalFormatting>
  <conditionalFormatting sqref="K109:L114 L115">
    <cfRule type="expression" priority="20" dxfId="3" stopIfTrue="1">
      <formula>NOT(EXACT('4b-Progress_fusex'!$H$105,""))</formula>
    </cfRule>
  </conditionalFormatting>
  <conditionalFormatting sqref="D128">
    <cfRule type="expression" priority="21" dxfId="3" stopIfTrue="1">
      <formula>AND(NOT(EXACT('4b-Progress_fusex'!$H$124,"")),'4b-Progress_fusex'!$H$124&lt;1)</formula>
    </cfRule>
  </conditionalFormatting>
  <conditionalFormatting sqref="D129">
    <cfRule type="expression" priority="22" dxfId="3" stopIfTrue="1">
      <formula>AND(NOT(EXACT('4b-Progress_fusex'!$H$124,"")),'4b-Progress_fusex'!$H$124&lt;2)</formula>
    </cfRule>
  </conditionalFormatting>
  <conditionalFormatting sqref="D131">
    <cfRule type="expression" priority="23" dxfId="3" stopIfTrue="1">
      <formula>AND(NOT(EXACT('4b-Progress_fusex'!$H$124,"")),'4b-Progress_fusex'!$H$124&lt;4)</formula>
    </cfRule>
  </conditionalFormatting>
  <conditionalFormatting sqref="D130:G130">
    <cfRule type="expression" priority="24" dxfId="3" stopIfTrue="1">
      <formula>AND(NOT(EXACT('4b-Progress_fusex'!$H$124,"")),'4b-Progress_fusex'!$H$124&lt;3)</formula>
    </cfRule>
  </conditionalFormatting>
  <conditionalFormatting sqref="H128:J128">
    <cfRule type="expression" priority="25" dxfId="27" stopIfTrue="1">
      <formula>AND(NOT(EXACT('4b-Progress_fusex'!$H$124,"")),'4b-Progress_fusex'!$H$124&lt;1)</formula>
    </cfRule>
  </conditionalFormatting>
  <conditionalFormatting sqref="H129:J129">
    <cfRule type="expression" priority="26" dxfId="27" stopIfTrue="1">
      <formula>AND(NOT(EXACT('4b-Progress_fusex'!$H$124,"")),'4b-Progress_fusex'!$H$124&lt;2)</formula>
    </cfRule>
  </conditionalFormatting>
  <conditionalFormatting sqref="H130:J130">
    <cfRule type="expression" priority="27" dxfId="27" stopIfTrue="1">
      <formula>AND(NOT(EXACT('4b-Progress_fusex'!$H$124,"")),'4b-Progress_fusex'!$H$124&lt;3)</formula>
    </cfRule>
  </conditionalFormatting>
  <conditionalFormatting sqref="H131:J131">
    <cfRule type="expression" priority="28" dxfId="27" stopIfTrue="1">
      <formula>AND(NOT(EXACT('4b-Progress_fusex'!$H$124,"")),'4b-Progress_fusex'!$H$124&lt;4)</formula>
    </cfRule>
  </conditionalFormatting>
  <conditionalFormatting sqref="K128:L133 L134">
    <cfRule type="expression" priority="29" dxfId="3" stopIfTrue="1">
      <formula>NOT(EXACT('4b-Progress_fusex'!$H$124,""))</formula>
    </cfRule>
  </conditionalFormatting>
  <conditionalFormatting sqref="A151">
    <cfRule type="expression" priority="30" dxfId="3" stopIfTrue="1">
      <formula>NOT(EXACT('4b-Progress_fusex'!$H$141,""))</formula>
    </cfRule>
  </conditionalFormatting>
  <conditionalFormatting sqref="H146:J146 L147">
    <cfRule type="expression" priority="31" dxfId="3" stopIfTrue="1">
      <formula>NOT(EXACT('4b-Progress_fusex'!$H$141,""))</formula>
    </cfRule>
  </conditionalFormatting>
  <conditionalFormatting sqref="B151:G151">
    <cfRule type="expression" priority="32" dxfId="3" stopIfTrue="1">
      <formula>NOT(EXACT('4b-Progress_fusex'!$H$142,""))</formula>
    </cfRule>
  </conditionalFormatting>
  <conditionalFormatting sqref="H151:J151 L152">
    <cfRule type="expression" priority="33" dxfId="3" stopIfTrue="1">
      <formula>NOT(EXACT('4b-Progress_fusex'!$H$142,""))</formula>
    </cfRule>
  </conditionalFormatting>
  <conditionalFormatting sqref="K202:L207 L208">
    <cfRule type="expression" priority="34" dxfId="3" stopIfTrue="1">
      <formula>NOT(EXACT('4b-Progress_fusex'!$H$198,""))</formula>
    </cfRule>
  </conditionalFormatting>
  <conditionalFormatting sqref="H202:J202">
    <cfRule type="expression" priority="35" dxfId="27" stopIfTrue="1">
      <formula>AND(NOT(EXACT('4b-Progress_fusex'!$H$198,"")),'4b-Progress_fusex'!$H$198&lt;1)</formula>
    </cfRule>
  </conditionalFormatting>
  <conditionalFormatting sqref="H203:J203">
    <cfRule type="expression" priority="36" dxfId="27" stopIfTrue="1">
      <formula>AND(NOT(EXACT('4b-Progress_fusex'!$H$198,"")),'4b-Progress_fusex'!$H$198&lt;2)</formula>
    </cfRule>
  </conditionalFormatting>
  <conditionalFormatting sqref="B202:E202">
    <cfRule type="expression" priority="37" dxfId="3" stopIfTrue="1">
      <formula>AND(NOT(EXACT('4b-Progress_fusex'!$H$198,"")),'4b-Progress_fusex'!$H$198&lt;1)</formula>
    </cfRule>
  </conditionalFormatting>
  <conditionalFormatting sqref="B203:E203">
    <cfRule type="expression" priority="38" dxfId="3" stopIfTrue="1">
      <formula>AND(NOT(EXACT('4b-Progress_fusex'!$H$198,"")),'4b-Progress_fusex'!$H$198&lt;2)</formula>
    </cfRule>
  </conditionalFormatting>
  <conditionalFormatting sqref="K82:L87 L38 L45 L52 L59 L66 L88">
    <cfRule type="expression" priority="39" dxfId="3" stopIfTrue="1">
      <formula>NOT(EXACT('4b-Progress_fusex'!$H$78,""))</formula>
    </cfRule>
  </conditionalFormatting>
  <conditionalFormatting sqref="D83">
    <cfRule type="expression" priority="40" dxfId="3" stopIfTrue="1">
      <formula>AND(NOT(EXACT('4b-Progress_fusex'!$H$78,"")),'4b-Progress_fusex'!$H$78&lt;2)</formula>
    </cfRule>
  </conditionalFormatting>
  <conditionalFormatting sqref="D82">
    <cfRule type="expression" priority="41" dxfId="3" stopIfTrue="1">
      <formula>AND(NOT(EXACT('4b-Progress_fusex'!$H$78,"")),'4b-Progress_fusex'!$H$78&lt;1)</formula>
    </cfRule>
  </conditionalFormatting>
  <conditionalFormatting sqref="H82:J82">
    <cfRule type="expression" priority="42" dxfId="27" stopIfTrue="1">
      <formula>AND(NOT(EXACT('4b-Progress_fusex'!$H$78,"")),'4b-Progress_fusex'!$H$78&lt;1)</formula>
    </cfRule>
  </conditionalFormatting>
  <conditionalFormatting sqref="H83:J83">
    <cfRule type="expression" priority="43" dxfId="27" stopIfTrue="1">
      <formula>AND(NOT(EXACT('4b-Progress_fusex'!$H$78,"")),'4b-Progress_fusex'!$H$78&lt;2)</formula>
    </cfRule>
  </conditionalFormatting>
  <conditionalFormatting sqref="H84:J84">
    <cfRule type="expression" priority="44" dxfId="27" stopIfTrue="1">
      <formula>AND(NOT(EXACT('4b-Progress_fusex'!$H$78,"")),'4b-Progress_fusex'!$H$78&lt;3)</formula>
    </cfRule>
  </conditionalFormatting>
  <conditionalFormatting sqref="H39:J44">
    <cfRule type="expression" priority="45" dxfId="3" stopIfTrue="1">
      <formula>AND(NOT(EXACT('4b-Progress_fusex'!$H$27,"")),'4b-Progress_fusex'!$H$27&lt;2)</formula>
    </cfRule>
  </conditionalFormatting>
  <conditionalFormatting sqref="H32:J37">
    <cfRule type="expression" priority="46" dxfId="3" stopIfTrue="1">
      <formula>AND(NOT(EXACT('4b-Progress_fusex'!$H$27,"")),'4b-Progress_fusex'!$H$27&lt;1)</formula>
    </cfRule>
  </conditionalFormatting>
  <conditionalFormatting sqref="K32:K37 K46:K51 K53:K58 K60:K65 K67:K72">
    <cfRule type="expression" priority="47" dxfId="27" stopIfTrue="1">
      <formula>NOT(EXACT('4b-Progress_fusex'!$H$27,""))</formula>
    </cfRule>
  </conditionalFormatting>
  <conditionalFormatting sqref="L32:L37 L39:L44 L46:L51 L53:L58 L60:L65 L67:L73">
    <cfRule type="expression" priority="48" dxfId="3" stopIfTrue="1">
      <formula>NOT(EXACT('4b-Progress_fusex'!$H$27,""))</formula>
    </cfRule>
  </conditionalFormatting>
  <conditionalFormatting sqref="D8:G8">
    <cfRule type="cellIs" priority="49" dxfId="0" operator="equal" stopIfTrue="1">
      <formula>"Sélectionner …"</formula>
    </cfRule>
  </conditionalFormatting>
  <conditionalFormatting sqref="A146">
    <cfRule type="expression" priority="50" dxfId="3" stopIfTrue="1">
      <formula>NOT(EXACT('4b-Progress_fusex'!$H$209,""))</formula>
    </cfRule>
  </conditionalFormatting>
  <conditionalFormatting sqref="K39:K44">
    <cfRule type="expression" priority="51" dxfId="27" stopIfTrue="1">
      <formula>NOT(EXACT('4b-Progress_fusex'!$H$27,""))</formula>
    </cfRule>
  </conditionalFormatting>
  <conditionalFormatting sqref="B38:C38 C39:G44">
    <cfRule type="expression" priority="52" dxfId="3" stopIfTrue="1">
      <formula>AND(NOT(EXACT('4b-Progress_fusex'!$H$27,"")),'4b-Progress_fusex'!$H$27&lt;2)</formula>
    </cfRule>
  </conditionalFormatting>
  <conditionalFormatting sqref="C46:J51">
    <cfRule type="expression" priority="53" dxfId="3" stopIfTrue="1">
      <formula>AND(NOT(EXACT('4b-Progress_fusex'!$H$27,"")),'4b-Progress_fusex'!$H$27&lt;3)</formula>
    </cfRule>
  </conditionalFormatting>
  <conditionalFormatting sqref="C53:J58">
    <cfRule type="expression" priority="54" dxfId="3" stopIfTrue="1">
      <formula>AND(NOT(EXACT('4b-Progress_fusex'!$H$27,"")),'4b-Progress_fusex'!$H$27&lt;4)</formula>
    </cfRule>
  </conditionalFormatting>
  <conditionalFormatting sqref="C60:J65">
    <cfRule type="expression" priority="55" dxfId="3" stopIfTrue="1">
      <formula>AND(NOT(EXACT('4b-Progress_fusex'!$H$27,"")),'4b-Progress_fusex'!$H$27&lt;5)</formula>
    </cfRule>
  </conditionalFormatting>
  <conditionalFormatting sqref="C67:J72">
    <cfRule type="expression" priority="56" dxfId="3" stopIfTrue="1">
      <formula>AND(NOT(EXACT('4b-Progress_fusex'!$H$27,"")),'4b-Progress_fusex'!$H$27&lt;6)</formula>
    </cfRule>
  </conditionalFormatting>
  <conditionalFormatting sqref="D31:G31">
    <cfRule type="expression" priority="57" dxfId="3" stopIfTrue="1">
      <formula>AND(NOT(EXACT('4b-Progress_fusex'!$H$27,"")),'4b-Progress_fusex'!$H$27&lt;1)</formula>
    </cfRule>
  </conditionalFormatting>
  <conditionalFormatting sqref="D87:G87">
    <cfRule type="expression" priority="58" dxfId="3" stopIfTrue="1">
      <formula>AND(NOT(EXACT('4b-Progress_fusex'!$H$78,"")),'4b-Progress_fusex'!$H$78&lt;6)</formula>
    </cfRule>
  </conditionalFormatting>
  <conditionalFormatting sqref="D84:G84">
    <cfRule type="expression" priority="59" dxfId="3" stopIfTrue="1">
      <formula>AND(NOT(EXACT('4b-Progress_fusex'!$H$78,"")),'4b-Progress_fusex'!$H$78&lt;3)</formula>
    </cfRule>
  </conditionalFormatting>
  <conditionalFormatting sqref="D85:G85">
    <cfRule type="expression" priority="60" dxfId="3" stopIfTrue="1">
      <formula>AND(NOT(EXACT('4b-Progress_fusex'!$H$78,"")),'4b-Progress_fusex'!$H$78&lt;4)</formula>
    </cfRule>
  </conditionalFormatting>
  <conditionalFormatting sqref="D86:G86">
    <cfRule type="expression" priority="61" dxfId="3" stopIfTrue="1">
      <formula>AND(NOT(EXACT('4b-Progress_fusex'!$H$78,"")),'4b-Progress_fusex'!$H$78&lt;5)</formula>
    </cfRule>
  </conditionalFormatting>
  <conditionalFormatting sqref="H85:J85">
    <cfRule type="expression" priority="62" dxfId="27" stopIfTrue="1">
      <formula>AND(NOT(EXACT('4b-Progress_fusex'!$H$78,"")),'4b-Progress_fusex'!$H$78&lt;4)</formula>
    </cfRule>
  </conditionalFormatting>
  <conditionalFormatting sqref="H86:J86">
    <cfRule type="expression" priority="63" dxfId="27" stopIfTrue="1">
      <formula>AND(NOT(EXACT('4b-Progress_fusex'!$H$78,"")),'4b-Progress_fusex'!$H$78&lt;5)</formula>
    </cfRule>
  </conditionalFormatting>
  <conditionalFormatting sqref="H87:J87">
    <cfRule type="expression" priority="64" dxfId="27" stopIfTrue="1">
      <formula>AND(NOT(EXACT('4b-Progress_fusex'!$H$78,"")),'4b-Progress_fusex'!$H$78&lt;6)</formula>
    </cfRule>
  </conditionalFormatting>
  <conditionalFormatting sqref="D133:G133">
    <cfRule type="expression" priority="65" dxfId="3" stopIfTrue="1">
      <formula>AND(NOT(EXACT('4b-Progress_fusex'!$H$124,"")),'4b-Progress_fusex'!$H$124&lt;6)</formula>
    </cfRule>
  </conditionalFormatting>
  <conditionalFormatting sqref="D132:G132">
    <cfRule type="expression" priority="66" dxfId="3" stopIfTrue="1">
      <formula>AND(NOT(EXACT('4b-Progress_fusex'!$H$124,"")),'4b-Progress_fusex'!$H$124&lt;5)</formula>
    </cfRule>
  </conditionalFormatting>
  <conditionalFormatting sqref="H133:J133">
    <cfRule type="expression" priority="67" dxfId="27" stopIfTrue="1">
      <formula>AND(NOT(EXACT('4b-Progress_fusex'!$H$124,"")),'4b-Progress_fusex'!$H$124&lt;6)</formula>
    </cfRule>
  </conditionalFormatting>
  <conditionalFormatting sqref="H132:J132">
    <cfRule type="expression" priority="68" dxfId="27" stopIfTrue="1">
      <formula>AND(NOT(EXACT('4b-Progress_fusex'!$H$124,"")),'4b-Progress_fusex'!$H$124&lt;5)</formula>
    </cfRule>
  </conditionalFormatting>
  <conditionalFormatting sqref="B204:G204">
    <cfRule type="expression" priority="69" dxfId="3" stopIfTrue="1">
      <formula>AND(NOT(EXACT('4b-Progress_fusex'!$H$198,"")),'4b-Progress_fusex'!$H$198&lt;3)</formula>
    </cfRule>
  </conditionalFormatting>
  <conditionalFormatting sqref="B205:G205">
    <cfRule type="expression" priority="70" dxfId="3" stopIfTrue="1">
      <formula>AND(NOT(EXACT('4b-Progress_fusex'!$H$198,"")),'4b-Progress_fusex'!$H$198&lt;4)</formula>
    </cfRule>
  </conditionalFormatting>
  <conditionalFormatting sqref="B206:G206">
    <cfRule type="expression" priority="71" dxfId="3" stopIfTrue="1">
      <formula>AND(NOT(EXACT('4b-Progress_fusex'!$H$198,"")),'4b-Progress_fusex'!$H$198&lt;5)</formula>
    </cfRule>
  </conditionalFormatting>
  <conditionalFormatting sqref="B207:G207">
    <cfRule type="expression" priority="72" dxfId="3" stopIfTrue="1">
      <formula>AND(NOT(EXACT('4b-Progress_fusex'!$H$198,"")),'4b-Progress_fusex'!$H$198&lt;6)</formula>
    </cfRule>
  </conditionalFormatting>
  <conditionalFormatting sqref="H204:J204">
    <cfRule type="expression" priority="73" dxfId="27" stopIfTrue="1">
      <formula>AND(NOT(EXACT('4b-Progress_fusex'!$H$198,"")),'4b-Progress_fusex'!$H$198&lt;3)</formula>
    </cfRule>
  </conditionalFormatting>
  <conditionalFormatting sqref="H205:J205">
    <cfRule type="expression" priority="74" dxfId="27" stopIfTrue="1">
      <formula>AND(NOT(EXACT('4b-Progress_fusex'!$H$198,"")),'4b-Progress_fusex'!$H$198&lt;4)</formula>
    </cfRule>
  </conditionalFormatting>
  <conditionalFormatting sqref="H206:J206">
    <cfRule type="expression" priority="75" dxfId="27" stopIfTrue="1">
      <formula>AND(NOT(EXACT('4b-Progress_fusex'!$H$198,"")),'4b-Progress_fusex'!$H$198&lt;5)</formula>
    </cfRule>
  </conditionalFormatting>
  <conditionalFormatting sqref="H207:J207">
    <cfRule type="expression" priority="76" dxfId="27" stopIfTrue="1">
      <formula>AND(NOT(EXACT('4b-Progress_fusex'!$H$198,"")),'4b-Progress_fusex'!$H$198&lt;6)</formula>
    </cfRule>
  </conditionalFormatting>
  <conditionalFormatting sqref="H160">
    <cfRule type="expression" priority="77" dxfId="3" stopIfTrue="1">
      <formula>NOT(EXACT('4b-Progress_fusex'!$D160,""))</formula>
    </cfRule>
  </conditionalFormatting>
  <conditionalFormatting sqref="B31:C31 C32:G37">
    <cfRule type="expression" priority="78" dxfId="3" stopIfTrue="1">
      <formula>AND(NOT(EXACT('4b-Progress_fusex'!$H$27,"")),'4b-Progress_fusex'!$H$27&lt;1)</formula>
    </cfRule>
  </conditionalFormatting>
  <conditionalFormatting sqref="D38:G38">
    <cfRule type="expression" priority="79" dxfId="3" stopIfTrue="1">
      <formula>AND(NOT(EXACT('4b-Progress_fusex'!$H$27,"")),'4b-Progress_fusex'!$H$27&lt;2)</formula>
    </cfRule>
  </conditionalFormatting>
  <conditionalFormatting sqref="B45:G45">
    <cfRule type="expression" priority="80" dxfId="3" stopIfTrue="1">
      <formula>AND(NOT(EXACT('4b-Progress_fusex'!$H$27,"")),'4b-Progress_fusex'!$H$27&lt;3)</formula>
    </cfRule>
  </conditionalFormatting>
  <conditionalFormatting sqref="B52:G52">
    <cfRule type="expression" priority="81" dxfId="3" stopIfTrue="1">
      <formula>AND(NOT(EXACT('4b-Progress_fusex'!$H$27,"")),'4b-Progress_fusex'!$H$27&lt;4)</formula>
    </cfRule>
  </conditionalFormatting>
  <conditionalFormatting sqref="B59:G59">
    <cfRule type="expression" priority="82" dxfId="3" stopIfTrue="1">
      <formula>AND(NOT(EXACT('4b-Progress_fusex'!$H$27,"")),'4b-Progress_fusex'!$H$27&lt;5)</formula>
    </cfRule>
  </conditionalFormatting>
  <conditionalFormatting sqref="B66:G66">
    <cfRule type="expression" priority="83" dxfId="3" stopIfTrue="1">
      <formula>AND(NOT(EXACT('4b-Progress_fusex'!$H$27,"")),'4b-Progress_fusex'!$H$27&lt;6)</formula>
    </cfRule>
  </conditionalFormatting>
  <conditionalFormatting sqref="B82:C82">
    <cfRule type="expression" priority="84" dxfId="3" stopIfTrue="1">
      <formula>AND(NOT(EXACT('4b-Progress_fusex'!$H$78,"")),'4b-Progress_fusex'!$H$78&lt;1)</formula>
    </cfRule>
  </conditionalFormatting>
  <conditionalFormatting sqref="B83:C83">
    <cfRule type="expression" priority="85" dxfId="3" stopIfTrue="1">
      <formula>AND(NOT(EXACT('4b-Progress_fusex'!$H$78,"")),'4b-Progress_fusex'!$H$78&lt;2)</formula>
    </cfRule>
  </conditionalFormatting>
  <conditionalFormatting sqref="B84:C84">
    <cfRule type="expression" priority="86" dxfId="3" stopIfTrue="1">
      <formula>AND(NOT(EXACT('4b-Progress_fusex'!$H$78,"")),'4b-Progress_fusex'!$H$78&lt;3)</formula>
    </cfRule>
  </conditionalFormatting>
  <conditionalFormatting sqref="B85:C85">
    <cfRule type="expression" priority="87" dxfId="3" stopIfTrue="1">
      <formula>AND(NOT(EXACT('4b-Progress_fusex'!$H$78,"")),'4b-Progress_fusex'!$H$78&lt;4)</formula>
    </cfRule>
  </conditionalFormatting>
  <conditionalFormatting sqref="B86:C86">
    <cfRule type="expression" priority="88" dxfId="3" stopIfTrue="1">
      <formula>AND(NOT(EXACT('4b-Progress_fusex'!$H$78,"")),'4b-Progress_fusex'!$H$78&lt;5)</formula>
    </cfRule>
  </conditionalFormatting>
  <conditionalFormatting sqref="B87:C87">
    <cfRule type="expression" priority="89" dxfId="3" stopIfTrue="1">
      <formula>AND(NOT(EXACT('4b-Progress_fusex'!$H$78,"")),'4b-Progress_fusex'!$H$78&lt;6)</formula>
    </cfRule>
  </conditionalFormatting>
  <conditionalFormatting sqref="B109:C109">
    <cfRule type="expression" priority="90" dxfId="3" stopIfTrue="1">
      <formula>AND(NOT(EXACT('4b-Progress_fusex'!$H$105,"")),'4b-Progress_fusex'!$H$105&lt;1)</formula>
    </cfRule>
  </conditionalFormatting>
  <conditionalFormatting sqref="B110:C110">
    <cfRule type="expression" priority="91" dxfId="3" stopIfTrue="1">
      <formula>AND(NOT(EXACT('4b-Progress_fusex'!$H$105,"")),'4b-Progress_fusex'!$H$105&lt;2)</formula>
    </cfRule>
  </conditionalFormatting>
  <conditionalFormatting sqref="B111:C111">
    <cfRule type="expression" priority="92" dxfId="3" stopIfTrue="1">
      <formula>AND(NOT(EXACT('4b-Progress_fusex'!$H$105,"")),'4b-Progress_fusex'!$H$105&lt;3)</formula>
    </cfRule>
  </conditionalFormatting>
  <conditionalFormatting sqref="B112:C112">
    <cfRule type="expression" priority="93" dxfId="3" stopIfTrue="1">
      <formula>AND(NOT(EXACT('4b-Progress_fusex'!$H$105,"")),'4b-Progress_fusex'!$H$105&lt;4)</formula>
    </cfRule>
  </conditionalFormatting>
  <conditionalFormatting sqref="B113:C113">
    <cfRule type="expression" priority="94" dxfId="3" stopIfTrue="1">
      <formula>AND(NOT(EXACT('4b-Progress_fusex'!$H$105,"")),'4b-Progress_fusex'!$H$105&lt;5)</formula>
    </cfRule>
  </conditionalFormatting>
  <conditionalFormatting sqref="B114:C114">
    <cfRule type="expression" priority="95" dxfId="3" stopIfTrue="1">
      <formula>AND(NOT(EXACT('4b-Progress_fusex'!$H$105,"")),'4b-Progress_fusex'!$H$105&lt;6)</formula>
    </cfRule>
  </conditionalFormatting>
  <conditionalFormatting sqref="B128:C128">
    <cfRule type="expression" priority="96" dxfId="3" stopIfTrue="1">
      <formula>AND(NOT(EXACT('4b-Progress_fusex'!$H$124,"")),'4b-Progress_fusex'!$H$124&lt;1)</formula>
    </cfRule>
  </conditionalFormatting>
  <conditionalFormatting sqref="B129:C129">
    <cfRule type="expression" priority="97" dxfId="3" stopIfTrue="1">
      <formula>AND(NOT(EXACT('4b-Progress_fusex'!$H$124,"")),'4b-Progress_fusex'!$H$124&lt;2)</formula>
    </cfRule>
  </conditionalFormatting>
  <conditionalFormatting sqref="B130:C130">
    <cfRule type="expression" priority="98" dxfId="3" stopIfTrue="1">
      <formula>AND(NOT(EXACT('4b-Progress_fusex'!$H$124,"")),'4b-Progress_fusex'!$H$124&lt;3)</formula>
    </cfRule>
  </conditionalFormatting>
  <conditionalFormatting sqref="B131:C131">
    <cfRule type="expression" priority="99" dxfId="3" stopIfTrue="1">
      <formula>AND(NOT(EXACT('4b-Progress_fusex'!$H$124,"")),'4b-Progress_fusex'!$H$124&lt;4)</formula>
    </cfRule>
  </conditionalFormatting>
  <conditionalFormatting sqref="B132:C132">
    <cfRule type="expression" priority="100" dxfId="3" stopIfTrue="1">
      <formula>AND(NOT(EXACT('4b-Progress_fusex'!$H$124,"")),'4b-Progress_fusex'!$H$124&lt;5)</formula>
    </cfRule>
  </conditionalFormatting>
  <conditionalFormatting sqref="B133:C133">
    <cfRule type="expression" priority="101" dxfId="3" stopIfTrue="1">
      <formula>AND(NOT(EXACT('4b-Progress_fusex'!$H$124,"")),'4b-Progress_fusex'!$H$124&lt;6)</formula>
    </cfRule>
  </conditionalFormatting>
  <printOptions horizontalCentered="1"/>
  <pageMargins left="0.7875" right="0.7875" top="0.4722222222222222" bottom="0.4722222222222222" header="0.5118055555555555" footer="0.5118055555555555"/>
  <pageSetup horizontalDpi="300" verticalDpi="300" orientation="portrait" paperSize="9" scale="64"/>
  <rowBreaks count="3" manualBreakCount="3">
    <brk id="74" max="255" man="1"/>
    <brk id="154" max="255" man="1"/>
    <brk id="22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="85" zoomScaleNormal="85" zoomScaleSheetLayoutView="85" workbookViewId="0" topLeftCell="A61">
      <selection activeCell="A25" sqref="A25:F25"/>
    </sheetView>
  </sheetViews>
  <sheetFormatPr defaultColWidth="11.57421875" defaultRowHeight="12.75"/>
  <cols>
    <col min="1" max="1" width="24.421875" style="327" customWidth="1"/>
    <col min="2" max="2" width="22.7109375" style="327" customWidth="1"/>
    <col min="3" max="3" width="28.421875" style="327" customWidth="1"/>
    <col min="4" max="4" width="3.7109375" style="327" customWidth="1"/>
    <col min="5" max="5" width="20.8515625" style="327" customWidth="1"/>
    <col min="6" max="6" width="3.7109375" style="327" customWidth="1"/>
    <col min="7" max="16384" width="11.421875" style="327" customWidth="1"/>
  </cols>
  <sheetData>
    <row r="1" spans="1:6" ht="24" customHeight="1">
      <c r="A1" s="621" t="str">
        <f>ANNEE</f>
        <v>2011-2012</v>
      </c>
      <c r="B1" s="621"/>
      <c r="C1" s="621"/>
      <c r="D1" s="621"/>
      <c r="E1" s="621"/>
      <c r="F1" s="621"/>
    </row>
    <row r="2" spans="1:6" ht="18">
      <c r="A2" s="622" t="s">
        <v>650</v>
      </c>
      <c r="B2" s="622"/>
      <c r="C2" s="622"/>
      <c r="D2" s="622"/>
      <c r="E2" s="622"/>
      <c r="F2" s="622"/>
    </row>
    <row r="3" spans="1:6" ht="12" customHeight="1">
      <c r="A3" s="599"/>
      <c r="B3" s="599"/>
      <c r="C3" s="599"/>
      <c r="D3" s="599"/>
      <c r="E3" s="599"/>
      <c r="F3" s="599"/>
    </row>
    <row r="4" spans="1:6" ht="15">
      <c r="A4" s="623" t="str">
        <f>"A retourner avant le "&amp;Source!A34</f>
        <v>A retourner avant le 17 mars 2012</v>
      </c>
      <c r="B4" s="623"/>
      <c r="C4" s="623"/>
      <c r="D4" s="623"/>
      <c r="E4" s="623"/>
      <c r="F4" s="623"/>
    </row>
    <row r="5" spans="1:6" ht="12" customHeight="1">
      <c r="A5" s="616"/>
      <c r="B5" s="616"/>
      <c r="C5" s="616"/>
      <c r="D5" s="616"/>
      <c r="E5" s="616"/>
      <c r="F5" s="616"/>
    </row>
    <row r="6" spans="1:6" ht="12">
      <c r="A6" s="624" t="str">
        <f>'2-Définition'!A6</f>
        <v>UNE FICHE PAR PROJET</v>
      </c>
      <c r="B6" s="624"/>
      <c r="C6" s="624"/>
      <c r="D6" s="624"/>
      <c r="E6" s="624"/>
      <c r="F6" s="624"/>
    </row>
    <row r="7" spans="1:6" ht="12" customHeight="1">
      <c r="A7" s="625" t="s">
        <v>651</v>
      </c>
      <c r="B7" s="625"/>
      <c r="C7" s="625"/>
      <c r="D7" s="625"/>
      <c r="E7" s="625"/>
      <c r="F7" s="625"/>
    </row>
    <row r="8" spans="1:6" ht="12.75" customHeight="1">
      <c r="A8" s="625"/>
      <c r="B8" s="625"/>
      <c r="C8" s="625"/>
      <c r="D8" s="625"/>
      <c r="E8" s="625"/>
      <c r="F8" s="625"/>
    </row>
    <row r="9" spans="1:6" ht="12.75" customHeight="1">
      <c r="A9" s="625" t="s">
        <v>652</v>
      </c>
      <c r="B9" s="625"/>
      <c r="C9" s="625"/>
      <c r="D9" s="625"/>
      <c r="E9" s="625"/>
      <c r="F9" s="625"/>
    </row>
    <row r="10" spans="1:6" ht="12" customHeight="1">
      <c r="A10" s="617"/>
      <c r="B10" s="617"/>
      <c r="C10" s="617"/>
      <c r="D10" s="617"/>
      <c r="E10" s="617"/>
      <c r="F10" s="617"/>
    </row>
    <row r="11" spans="1:6" ht="15" customHeight="1">
      <c r="A11" s="328" t="str">
        <f>'2-Définition'!A11</f>
        <v>Nom du projet</v>
      </c>
      <c r="B11" s="489" t="str">
        <f>IF('1-Déclaration'!$B$12="","",'1-Déclaration'!$B$12)</f>
        <v>PERSEUS Ares07EvoP2 (Ares-EVE4)</v>
      </c>
      <c r="C11" s="489"/>
      <c r="D11" s="489"/>
      <c r="E11" s="489"/>
      <c r="F11" s="489"/>
    </row>
    <row r="12" spans="1:6" ht="12" customHeight="1">
      <c r="A12" s="618"/>
      <c r="B12" s="618"/>
      <c r="C12" s="618"/>
      <c r="D12" s="618"/>
      <c r="E12" s="618"/>
      <c r="F12" s="618"/>
    </row>
    <row r="13" spans="1:6" ht="15" customHeight="1">
      <c r="A13" s="329" t="str">
        <f>'2-Définition'!A13</f>
        <v>Nom du club</v>
      </c>
      <c r="B13" s="499" t="str">
        <f>IF('1-Déclaration'!$B$18="","",'1-Déclaration'!$B$18)</f>
        <v>Octave</v>
      </c>
      <c r="C13" s="499"/>
      <c r="D13" s="499"/>
      <c r="E13" s="499"/>
      <c r="F13" s="499"/>
    </row>
    <row r="14" spans="1:6" ht="6" customHeight="1">
      <c r="A14" s="619"/>
      <c r="B14" s="619"/>
      <c r="C14" s="619"/>
      <c r="D14" s="619"/>
      <c r="E14" s="619"/>
      <c r="F14" s="619"/>
    </row>
    <row r="15" spans="1:6" ht="15" customHeight="1">
      <c r="A15" s="600" t="str">
        <f>'2-Définition'!A15</f>
        <v>VOTRE PROJET</v>
      </c>
      <c r="B15" s="600"/>
      <c r="C15" s="600"/>
      <c r="D15" s="600"/>
      <c r="E15" s="600"/>
      <c r="F15" s="600"/>
    </row>
    <row r="16" spans="1:6" ht="12" customHeight="1">
      <c r="A16" s="599"/>
      <c r="B16" s="599"/>
      <c r="C16" s="599"/>
      <c r="D16" s="599"/>
      <c r="E16" s="599"/>
      <c r="F16" s="599"/>
    </row>
    <row r="17" spans="1:6" ht="12">
      <c r="A17" s="330" t="str">
        <f>'2-Définition'!A17</f>
        <v>Type de projet</v>
      </c>
      <c r="B17" s="483" t="str">
        <f>'2-Définition'!B17</f>
        <v>Fusée Expérimentale</v>
      </c>
      <c r="C17" s="483"/>
      <c r="D17" s="620">
        <f>IF(E70="Oui","SPECIAL","")</f>
      </c>
      <c r="E17" s="620"/>
      <c r="F17" s="620"/>
    </row>
    <row r="18" spans="1:6" ht="12" customHeight="1">
      <c r="A18" s="531"/>
      <c r="B18" s="531"/>
      <c r="C18" s="531"/>
      <c r="D18" s="531"/>
      <c r="E18" s="531"/>
      <c r="F18" s="531"/>
    </row>
    <row r="19" spans="1:6" ht="12" customHeight="1">
      <c r="A19" s="616"/>
      <c r="B19" s="616"/>
      <c r="C19" s="616"/>
      <c r="D19" s="616"/>
      <c r="E19" s="616"/>
      <c r="F19" s="616"/>
    </row>
    <row r="20" spans="1:6" ht="6" customHeight="1">
      <c r="A20" s="331"/>
      <c r="B20" s="332"/>
      <c r="C20" s="332"/>
      <c r="D20" s="332"/>
      <c r="E20" s="332"/>
      <c r="F20" s="333"/>
    </row>
    <row r="21" spans="1:6" ht="15" customHeight="1">
      <c r="A21" s="600" t="s">
        <v>653</v>
      </c>
      <c r="B21" s="600"/>
      <c r="C21" s="600"/>
      <c r="D21" s="600"/>
      <c r="E21" s="600"/>
      <c r="F21" s="600"/>
    </row>
    <row r="22" spans="1:6" ht="12">
      <c r="A22" s="613"/>
      <c r="B22" s="613"/>
      <c r="C22" s="613"/>
      <c r="D22" s="613"/>
      <c r="E22" s="613"/>
      <c r="F22" s="613"/>
    </row>
    <row r="23" spans="1:6" ht="12">
      <c r="A23" s="613"/>
      <c r="B23" s="613"/>
      <c r="C23" s="613"/>
      <c r="D23" s="613"/>
      <c r="E23" s="613"/>
      <c r="F23" s="613"/>
    </row>
    <row r="24" spans="1:6" ht="12" customHeight="1">
      <c r="A24" s="613"/>
      <c r="B24" s="613"/>
      <c r="C24" s="613"/>
      <c r="D24" s="613"/>
      <c r="E24" s="613"/>
      <c r="F24" s="613"/>
    </row>
    <row r="25" spans="1:6" ht="12" customHeight="1">
      <c r="A25" s="599"/>
      <c r="B25" s="599"/>
      <c r="C25" s="599"/>
      <c r="D25" s="599"/>
      <c r="E25" s="599"/>
      <c r="F25" s="599"/>
    </row>
    <row r="26" spans="1:6" ht="30" customHeight="1">
      <c r="A26" s="607" t="s">
        <v>654</v>
      </c>
      <c r="B26" s="607"/>
      <c r="C26" s="467"/>
      <c r="D26" s="467"/>
      <c r="E26" s="467"/>
      <c r="F26" s="467"/>
    </row>
    <row r="27" spans="1:6" ht="12" customHeight="1">
      <c r="A27" s="614"/>
      <c r="B27" s="614"/>
      <c r="C27" s="615"/>
      <c r="D27" s="615"/>
      <c r="E27" s="615"/>
      <c r="F27" s="615"/>
    </row>
    <row r="28" spans="1:6" ht="30" customHeight="1">
      <c r="A28" s="604" t="s">
        <v>655</v>
      </c>
      <c r="B28" s="604"/>
      <c r="C28" s="467"/>
      <c r="D28" s="467"/>
      <c r="E28" s="467"/>
      <c r="F28" s="467"/>
    </row>
    <row r="29" spans="1:6" ht="12" customHeight="1">
      <c r="A29" s="608"/>
      <c r="B29" s="608"/>
      <c r="C29" s="609"/>
      <c r="D29" s="609"/>
      <c r="E29" s="609"/>
      <c r="F29" s="609"/>
    </row>
    <row r="30" spans="1:6" ht="30" customHeight="1">
      <c r="A30" s="604" t="s">
        <v>656</v>
      </c>
      <c r="B30" s="604"/>
      <c r="C30" s="335" t="s">
        <v>301</v>
      </c>
      <c r="D30" s="336" t="b">
        <v>0</v>
      </c>
      <c r="E30" s="337"/>
      <c r="F30" s="334"/>
    </row>
    <row r="31" spans="1:6" ht="30" customHeight="1">
      <c r="A31" s="610" t="str">
        <f>IF(D30,"","Vous devez analyser les conséquences sur la sécurité en cas de défaillance de votre système et juger de la criticité")</f>
        <v>Vous devez analyser les conséquences sur la sécurité en cas de défaillance de votre système et juger de la criticité</v>
      </c>
      <c r="B31" s="610"/>
      <c r="C31" s="467"/>
      <c r="D31" s="467"/>
      <c r="E31" s="467"/>
      <c r="F31" s="467"/>
    </row>
    <row r="32" spans="1:6" ht="30" customHeight="1">
      <c r="A32" s="610"/>
      <c r="B32" s="610"/>
      <c r="C32" s="467"/>
      <c r="D32" s="467"/>
      <c r="E32" s="467"/>
      <c r="F32" s="467"/>
    </row>
    <row r="33" spans="1:6" ht="12" customHeight="1">
      <c r="A33" s="611"/>
      <c r="B33" s="611"/>
      <c r="C33" s="612"/>
      <c r="D33" s="612"/>
      <c r="E33" s="612"/>
      <c r="F33" s="612"/>
    </row>
    <row r="34" spans="1:6" ht="30" customHeight="1">
      <c r="A34" s="604" t="s">
        <v>657</v>
      </c>
      <c r="B34" s="604"/>
      <c r="C34" s="105" t="s">
        <v>11</v>
      </c>
      <c r="D34" s="605"/>
      <c r="E34" s="605"/>
      <c r="F34" s="605"/>
    </row>
    <row r="35" spans="1:6" ht="12" customHeight="1">
      <c r="A35" s="606"/>
      <c r="B35" s="606"/>
      <c r="C35" s="606"/>
      <c r="D35" s="606"/>
      <c r="E35" s="606"/>
      <c r="F35" s="606"/>
    </row>
    <row r="36" spans="1:6" ht="30" customHeight="1">
      <c r="A36" s="607" t="s">
        <v>658</v>
      </c>
      <c r="B36" s="607"/>
      <c r="C36" s="467"/>
      <c r="D36" s="467"/>
      <c r="E36" s="467"/>
      <c r="F36" s="467"/>
    </row>
    <row r="37" spans="1:6" ht="30" customHeight="1">
      <c r="A37" s="608"/>
      <c r="B37" s="608"/>
      <c r="C37" s="467"/>
      <c r="D37" s="467"/>
      <c r="E37" s="467"/>
      <c r="F37" s="467"/>
    </row>
    <row r="38" spans="1:6" ht="6" customHeight="1">
      <c r="A38" s="598"/>
      <c r="B38" s="598"/>
      <c r="C38" s="598"/>
      <c r="D38" s="598"/>
      <c r="E38" s="598"/>
      <c r="F38" s="598"/>
    </row>
    <row r="39" spans="1:6" ht="6" customHeight="1">
      <c r="A39" s="599"/>
      <c r="B39" s="599"/>
      <c r="C39" s="599"/>
      <c r="D39" s="599"/>
      <c r="E39" s="599"/>
      <c r="F39" s="599"/>
    </row>
    <row r="40" spans="1:6" ht="15" customHeight="1">
      <c r="A40" s="600" t="str">
        <f>A21</f>
        <v>DEMANDE DE DEROGATION</v>
      </c>
      <c r="B40" s="600"/>
      <c r="C40" s="600"/>
      <c r="D40" s="600"/>
      <c r="E40" s="600"/>
      <c r="F40" s="600"/>
    </row>
    <row r="41" spans="1:6" ht="12">
      <c r="A41" s="613"/>
      <c r="B41" s="613"/>
      <c r="C41" s="613"/>
      <c r="D41" s="613"/>
      <c r="E41" s="613"/>
      <c r="F41" s="613"/>
    </row>
    <row r="42" spans="1:6" ht="12">
      <c r="A42" s="613"/>
      <c r="B42" s="613"/>
      <c r="C42" s="613"/>
      <c r="D42" s="613"/>
      <c r="E42" s="613"/>
      <c r="F42" s="613"/>
    </row>
    <row r="43" spans="1:6" ht="12" customHeight="1">
      <c r="A43" s="613"/>
      <c r="B43" s="613"/>
      <c r="C43" s="613"/>
      <c r="D43" s="613"/>
      <c r="E43" s="613"/>
      <c r="F43" s="613"/>
    </row>
    <row r="44" spans="1:6" ht="12" customHeight="1">
      <c r="A44" s="599"/>
      <c r="B44" s="599"/>
      <c r="C44" s="599"/>
      <c r="D44" s="599"/>
      <c r="E44" s="599"/>
      <c r="F44" s="599"/>
    </row>
    <row r="45" spans="1:6" ht="30" customHeight="1">
      <c r="A45" s="607" t="str">
        <f>A26</f>
        <v>Indiquez la règle que vous souhaitez déroger</v>
      </c>
      <c r="B45" s="607"/>
      <c r="C45" s="467"/>
      <c r="D45" s="467"/>
      <c r="E45" s="467"/>
      <c r="F45" s="467"/>
    </row>
    <row r="46" spans="1:6" ht="12" customHeight="1">
      <c r="A46" s="614"/>
      <c r="B46" s="614"/>
      <c r="C46" s="615"/>
      <c r="D46" s="615"/>
      <c r="E46" s="615"/>
      <c r="F46" s="615"/>
    </row>
    <row r="47" spans="1:6" ht="30" customHeight="1">
      <c r="A47" s="604" t="str">
        <f>A28</f>
        <v>Pourquoi ?</v>
      </c>
      <c r="B47" s="604"/>
      <c r="C47" s="467"/>
      <c r="D47" s="467"/>
      <c r="E47" s="467"/>
      <c r="F47" s="467"/>
    </row>
    <row r="48" spans="1:6" ht="12" customHeight="1">
      <c r="A48" s="608"/>
      <c r="B48" s="608"/>
      <c r="C48" s="609"/>
      <c r="D48" s="609"/>
      <c r="E48" s="609"/>
      <c r="F48" s="609"/>
    </row>
    <row r="49" spans="1:6" ht="30" customHeight="1">
      <c r="A49" s="604" t="str">
        <f>A30</f>
        <v>Avez vous réalisé une analyse de risques ?</v>
      </c>
      <c r="B49" s="604"/>
      <c r="C49" s="335" t="str">
        <f>C30</f>
        <v>OUI</v>
      </c>
      <c r="D49" s="336" t="b">
        <v>0</v>
      </c>
      <c r="E49" s="338"/>
      <c r="F49" s="334"/>
    </row>
    <row r="50" spans="1:6" ht="30" customHeight="1">
      <c r="A50" s="610" t="str">
        <f>IF(D49,"","Vous devez analyser les conséquences sur la sécurité en cas de défaillance de votre système et juger de la criticité")</f>
        <v>Vous devez analyser les conséquences sur la sécurité en cas de défaillance de votre système et juger de la criticité</v>
      </c>
      <c r="B50" s="610"/>
      <c r="C50" s="467"/>
      <c r="D50" s="467"/>
      <c r="E50" s="467"/>
      <c r="F50" s="467"/>
    </row>
    <row r="51" spans="1:6" ht="30" customHeight="1">
      <c r="A51" s="610"/>
      <c r="B51" s="610"/>
      <c r="C51" s="467"/>
      <c r="D51" s="467"/>
      <c r="E51" s="467"/>
      <c r="F51" s="467"/>
    </row>
    <row r="52" spans="1:6" ht="12" customHeight="1">
      <c r="A52" s="611"/>
      <c r="B52" s="611"/>
      <c r="C52" s="612"/>
      <c r="D52" s="612"/>
      <c r="E52" s="612"/>
      <c r="F52" s="612"/>
    </row>
    <row r="53" spans="1:6" ht="30" customHeight="1">
      <c r="A53" s="604" t="str">
        <f>A34</f>
        <v>Quel est l'impact pour votre projet si la demande est refusé</v>
      </c>
      <c r="B53" s="604"/>
      <c r="C53" s="105" t="s">
        <v>11</v>
      </c>
      <c r="D53" s="605"/>
      <c r="E53" s="605"/>
      <c r="F53" s="605"/>
    </row>
    <row r="54" spans="1:6" ht="12" customHeight="1">
      <c r="A54" s="606"/>
      <c r="B54" s="606"/>
      <c r="C54" s="606"/>
      <c r="D54" s="606"/>
      <c r="E54" s="606"/>
      <c r="F54" s="606"/>
    </row>
    <row r="55" spans="1:6" ht="30" customHeight="1">
      <c r="A55" s="607" t="str">
        <f>A36</f>
        <v>Précisez</v>
      </c>
      <c r="B55" s="607"/>
      <c r="C55" s="467"/>
      <c r="D55" s="467"/>
      <c r="E55" s="467"/>
      <c r="F55" s="467"/>
    </row>
    <row r="56" spans="1:6" ht="30" customHeight="1">
      <c r="A56" s="608"/>
      <c r="B56" s="608"/>
      <c r="C56" s="467"/>
      <c r="D56" s="467"/>
      <c r="E56" s="467"/>
      <c r="F56" s="467"/>
    </row>
    <row r="57" spans="1:6" ht="6" customHeight="1">
      <c r="A57" s="598"/>
      <c r="B57" s="598"/>
      <c r="C57" s="598"/>
      <c r="D57" s="598"/>
      <c r="E57" s="598"/>
      <c r="F57" s="598"/>
    </row>
    <row r="58" spans="1:6" ht="6" customHeight="1">
      <c r="A58" s="599"/>
      <c r="B58" s="599"/>
      <c r="C58" s="599"/>
      <c r="D58" s="599"/>
      <c r="E58" s="599"/>
      <c r="F58" s="599"/>
    </row>
    <row r="59" spans="1:6" ht="15" customHeight="1">
      <c r="A59" s="600" t="s">
        <v>171</v>
      </c>
      <c r="B59" s="600"/>
      <c r="C59" s="600"/>
      <c r="D59" s="600"/>
      <c r="E59" s="600"/>
      <c r="F59" s="600"/>
    </row>
    <row r="60" spans="1:6" ht="12" customHeight="1">
      <c r="A60" s="601" t="s">
        <v>172</v>
      </c>
      <c r="B60" s="601"/>
      <c r="C60" s="601"/>
      <c r="D60" s="601"/>
      <c r="E60" s="601"/>
      <c r="F60" s="601"/>
    </row>
    <row r="61" spans="1:6" ht="12" customHeight="1">
      <c r="A61" s="531"/>
      <c r="B61" s="531"/>
      <c r="C61" s="531"/>
      <c r="D61" s="531"/>
      <c r="E61" s="531"/>
      <c r="F61" s="531"/>
    </row>
    <row r="62" spans="1:6" ht="15" customHeight="1">
      <c r="A62" s="520">
        <f>IF(D30,"Joindre l'analyse de risques à la demande",IF(D49,"Joindre l'analyse de risques à la demande",""))</f>
      </c>
      <c r="B62" s="520"/>
      <c r="C62" s="520"/>
      <c r="D62" s="520"/>
      <c r="E62" s="520"/>
      <c r="F62" s="520"/>
    </row>
    <row r="63" spans="1:6" ht="15" customHeight="1">
      <c r="A63" s="602"/>
      <c r="B63" s="602"/>
      <c r="C63" s="602"/>
      <c r="D63" s="602"/>
      <c r="E63" s="602"/>
      <c r="F63" s="602"/>
    </row>
    <row r="64" spans="1:6" ht="15" customHeight="1">
      <c r="A64" s="602"/>
      <c r="B64" s="602"/>
      <c r="C64" s="602"/>
      <c r="D64" s="602"/>
      <c r="E64" s="602"/>
      <c r="F64" s="602"/>
    </row>
    <row r="65" spans="1:6" ht="15" customHeight="1">
      <c r="A65" s="602"/>
      <c r="B65" s="602"/>
      <c r="C65" s="602"/>
      <c r="D65" s="602"/>
      <c r="E65" s="602"/>
      <c r="F65" s="602"/>
    </row>
    <row r="66" spans="1:6" ht="15" customHeight="1">
      <c r="A66" s="602"/>
      <c r="B66" s="602"/>
      <c r="C66" s="602"/>
      <c r="D66" s="602"/>
      <c r="E66" s="602"/>
      <c r="F66" s="602"/>
    </row>
    <row r="67" spans="1:6" ht="15" customHeight="1">
      <c r="A67" s="602"/>
      <c r="B67" s="602"/>
      <c r="C67" s="602"/>
      <c r="D67" s="602"/>
      <c r="E67" s="602"/>
      <c r="F67" s="602"/>
    </row>
    <row r="68" spans="1:6" ht="12" customHeight="1">
      <c r="A68" s="603"/>
      <c r="B68" s="603"/>
      <c r="C68" s="603"/>
      <c r="D68" s="603"/>
      <c r="E68" s="603"/>
      <c r="F68" s="603"/>
    </row>
    <row r="69" spans="1:6" ht="15" customHeight="1">
      <c r="A69" s="597" t="s">
        <v>659</v>
      </c>
      <c r="B69" s="597"/>
      <c r="C69" s="597"/>
      <c r="D69" s="597"/>
      <c r="E69" s="442" t="s">
        <v>11</v>
      </c>
      <c r="F69" s="442"/>
    </row>
    <row r="70" spans="1:6" ht="15" customHeight="1">
      <c r="A70" s="597" t="s">
        <v>174</v>
      </c>
      <c r="B70" s="597"/>
      <c r="C70" s="597"/>
      <c r="D70" s="597"/>
      <c r="E70" s="442" t="s">
        <v>11</v>
      </c>
      <c r="F70" s="442"/>
    </row>
    <row r="71" spans="1:6" ht="12">
      <c r="A71" s="596" t="s">
        <v>175</v>
      </c>
      <c r="B71" s="596"/>
      <c r="C71" s="596"/>
      <c r="D71" s="596"/>
      <c r="E71" s="442" t="s">
        <v>11</v>
      </c>
      <c r="F71" s="442"/>
    </row>
  </sheetData>
  <sheetProtection password="DD05" sheet="1" objects="1" scenarios="1"/>
  <mergeCells count="79">
    <mergeCell ref="A7:F8"/>
    <mergeCell ref="A9:F9"/>
    <mergeCell ref="A1:F1"/>
    <mergeCell ref="A2:F2"/>
    <mergeCell ref="A3:F3"/>
    <mergeCell ref="A4:F4"/>
    <mergeCell ref="A5:F5"/>
    <mergeCell ref="A6:F6"/>
    <mergeCell ref="C27:F27"/>
    <mergeCell ref="A10:F10"/>
    <mergeCell ref="B11:F11"/>
    <mergeCell ref="A12:F12"/>
    <mergeCell ref="B13:F13"/>
    <mergeCell ref="A14:F14"/>
    <mergeCell ref="A15:F15"/>
    <mergeCell ref="A16:F16"/>
    <mergeCell ref="B17:C17"/>
    <mergeCell ref="D17:F17"/>
    <mergeCell ref="A33:B33"/>
    <mergeCell ref="C33:F33"/>
    <mergeCell ref="A18:F18"/>
    <mergeCell ref="A19:F19"/>
    <mergeCell ref="A21:F21"/>
    <mergeCell ref="A22:F24"/>
    <mergeCell ref="A25:F25"/>
    <mergeCell ref="A26:B26"/>
    <mergeCell ref="C26:F26"/>
    <mergeCell ref="A27:B27"/>
    <mergeCell ref="A28:B28"/>
    <mergeCell ref="C28:F28"/>
    <mergeCell ref="A29:B29"/>
    <mergeCell ref="C29:F29"/>
    <mergeCell ref="A30:B30"/>
    <mergeCell ref="A31:B32"/>
    <mergeCell ref="C31:F32"/>
    <mergeCell ref="C46:F46"/>
    <mergeCell ref="A34:B34"/>
    <mergeCell ref="D34:F34"/>
    <mergeCell ref="A35:F35"/>
    <mergeCell ref="A36:B36"/>
    <mergeCell ref="C36:F37"/>
    <mergeCell ref="A37:B37"/>
    <mergeCell ref="A52:B52"/>
    <mergeCell ref="C52:F52"/>
    <mergeCell ref="A38:F38"/>
    <mergeCell ref="A39:F39"/>
    <mergeCell ref="A40:F40"/>
    <mergeCell ref="A41:F43"/>
    <mergeCell ref="A44:F44"/>
    <mergeCell ref="A45:B45"/>
    <mergeCell ref="C45:F45"/>
    <mergeCell ref="A46:B46"/>
    <mergeCell ref="A47:B47"/>
    <mergeCell ref="C47:F47"/>
    <mergeCell ref="A48:B48"/>
    <mergeCell ref="C48:F48"/>
    <mergeCell ref="A49:B49"/>
    <mergeCell ref="A50:B51"/>
    <mergeCell ref="C50:F51"/>
    <mergeCell ref="A63:F67"/>
    <mergeCell ref="A68:F68"/>
    <mergeCell ref="A53:B53"/>
    <mergeCell ref="D53:F53"/>
    <mergeCell ref="A54:F54"/>
    <mergeCell ref="A55:B55"/>
    <mergeCell ref="C55:F56"/>
    <mergeCell ref="A56:B56"/>
    <mergeCell ref="A57:F57"/>
    <mergeCell ref="A58:F58"/>
    <mergeCell ref="A59:F59"/>
    <mergeCell ref="A60:F60"/>
    <mergeCell ref="A61:F61"/>
    <mergeCell ref="A62:F62"/>
    <mergeCell ref="A71:D71"/>
    <mergeCell ref="E71:F71"/>
    <mergeCell ref="A69:D69"/>
    <mergeCell ref="E69:F69"/>
    <mergeCell ref="A70:D70"/>
    <mergeCell ref="E70:F70"/>
  </mergeCells>
  <conditionalFormatting sqref="B17:C17 C34 C53 E69:F71">
    <cfRule type="cellIs" priority="1" dxfId="0" operator="equal" stopIfTrue="1">
      <formula>"Sélectionner …"</formula>
    </cfRule>
  </conditionalFormatting>
  <dataValidations count="4">
    <dataValidation type="list" allowBlank="1" showErrorMessage="1" sqref="I30 I49">
      <formula1>Question</formula1>
      <formula2>0</formula2>
    </dataValidation>
    <dataValidation type="list" allowBlank="1" showErrorMessage="1" sqref="E69:F71">
      <formula1>TypeQuestion</formula1>
      <formula2>0</formula2>
    </dataValidation>
    <dataValidation type="list" allowBlank="1" showErrorMessage="1" sqref="B17:C17">
      <formula1>TypeProjets</formula1>
      <formula2>0</formula2>
    </dataValidation>
    <dataValidation type="list" allowBlank="1" showErrorMessage="1" sqref="C34 C53">
      <formula1>Typederog</formula1>
      <formula2>0</formula2>
    </dataValidation>
  </dataValidations>
  <printOptions gridLines="1" horizontalCentered="1"/>
  <pageMargins left="0.7875" right="0.7875" top="0.4722222222222222" bottom="0.4722222222222222" header="0.5118055555555555" footer="0.5118055555555555"/>
  <pageSetup horizontalDpi="300" verticalDpi="300" orientation="portrait" paperSize="9" scale="65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="85" zoomScaleNormal="85" zoomScaleSheetLayoutView="85" workbookViewId="0" topLeftCell="A1">
      <selection activeCell="A31" sqref="A31:B32"/>
    </sheetView>
  </sheetViews>
  <sheetFormatPr defaultColWidth="11.57421875" defaultRowHeight="12.75"/>
  <cols>
    <col min="1" max="1" width="24.421875" style="327" customWidth="1"/>
    <col min="2" max="2" width="22.7109375" style="327" customWidth="1"/>
    <col min="3" max="3" width="28.421875" style="327" customWidth="1"/>
    <col min="4" max="4" width="3.7109375" style="327" customWidth="1"/>
    <col min="5" max="5" width="20.8515625" style="327" customWidth="1"/>
    <col min="6" max="6" width="3.7109375" style="327" customWidth="1"/>
    <col min="7" max="16384" width="11.421875" style="327" customWidth="1"/>
  </cols>
  <sheetData>
    <row r="1" spans="1:6" ht="24" customHeight="1">
      <c r="A1" s="621" t="str">
        <f>ANNEE</f>
        <v>2011-2012</v>
      </c>
      <c r="B1" s="621"/>
      <c r="C1" s="621"/>
      <c r="D1" s="621"/>
      <c r="E1" s="621"/>
      <c r="F1" s="621"/>
    </row>
    <row r="2" spans="1:6" ht="18">
      <c r="A2" s="622" t="s">
        <v>660</v>
      </c>
      <c r="B2" s="622"/>
      <c r="C2" s="622"/>
      <c r="D2" s="622"/>
      <c r="E2" s="622"/>
      <c r="F2" s="622"/>
    </row>
    <row r="3" spans="1:6" ht="12" customHeight="1">
      <c r="A3" s="599"/>
      <c r="B3" s="599"/>
      <c r="C3" s="599"/>
      <c r="D3" s="599"/>
      <c r="E3" s="599"/>
      <c r="F3" s="599"/>
    </row>
    <row r="4" spans="1:6" ht="15">
      <c r="A4" s="623" t="str">
        <f>"To be returned before "&amp;Source!C34</f>
        <v>To be returned before March17th 2012</v>
      </c>
      <c r="B4" s="623"/>
      <c r="C4" s="623"/>
      <c r="D4" s="623"/>
      <c r="E4" s="623"/>
      <c r="F4" s="623"/>
    </row>
    <row r="5" spans="1:6" ht="12" customHeight="1">
      <c r="A5" s="616"/>
      <c r="B5" s="616"/>
      <c r="C5" s="616"/>
      <c r="D5" s="616"/>
      <c r="E5" s="616"/>
      <c r="F5" s="616"/>
    </row>
    <row r="6" spans="1:6" ht="12">
      <c r="A6" s="624" t="str">
        <f>'2-Definition'!A6</f>
        <v>ONE FORM PER PROJECT</v>
      </c>
      <c r="B6" s="624"/>
      <c r="C6" s="624"/>
      <c r="D6" s="624"/>
      <c r="E6" s="624"/>
      <c r="F6" s="624"/>
    </row>
    <row r="7" spans="1:6" ht="12" customHeight="1">
      <c r="A7" s="625" t="s">
        <v>661</v>
      </c>
      <c r="B7" s="625"/>
      <c r="C7" s="625"/>
      <c r="D7" s="625"/>
      <c r="E7" s="625"/>
      <c r="F7" s="625"/>
    </row>
    <row r="8" spans="1:6" ht="12.75" customHeight="1">
      <c r="A8" s="625"/>
      <c r="B8" s="625"/>
      <c r="C8" s="625"/>
      <c r="D8" s="625"/>
      <c r="E8" s="625"/>
      <c r="F8" s="625"/>
    </row>
    <row r="9" spans="1:6" ht="12.75" customHeight="1">
      <c r="A9" s="625" t="s">
        <v>662</v>
      </c>
      <c r="B9" s="625"/>
      <c r="C9" s="625"/>
      <c r="D9" s="625"/>
      <c r="E9" s="625"/>
      <c r="F9" s="625"/>
    </row>
    <row r="10" spans="1:6" ht="12" customHeight="1">
      <c r="A10" s="617"/>
      <c r="B10" s="617"/>
      <c r="C10" s="617"/>
      <c r="D10" s="617"/>
      <c r="E10" s="617"/>
      <c r="F10" s="617"/>
    </row>
    <row r="11" spans="1:6" ht="15" customHeight="1">
      <c r="A11" s="328" t="str">
        <f>'2-Definition'!A11</f>
        <v>Project name</v>
      </c>
      <c r="B11" s="489">
        <f>IF('1-Registration'!$B$12="","",'1-Registration'!$B$12)</f>
      </c>
      <c r="C11" s="489"/>
      <c r="D11" s="489"/>
      <c r="E11" s="489"/>
      <c r="F11" s="489"/>
    </row>
    <row r="12" spans="1:6" ht="12" customHeight="1">
      <c r="A12" s="618"/>
      <c r="B12" s="618"/>
      <c r="C12" s="618"/>
      <c r="D12" s="618"/>
      <c r="E12" s="618"/>
      <c r="F12" s="618"/>
    </row>
    <row r="13" spans="1:6" ht="15" customHeight="1">
      <c r="A13" s="329" t="str">
        <f>'2-Definition'!A13</f>
        <v>Club name</v>
      </c>
      <c r="B13" s="499">
        <f>IF('1-Registration'!$B$18="","",'1-Registration'!$B$18)</f>
      </c>
      <c r="C13" s="499"/>
      <c r="D13" s="499"/>
      <c r="E13" s="499"/>
      <c r="F13" s="499"/>
    </row>
    <row r="14" spans="1:6" ht="6" customHeight="1">
      <c r="A14" s="619"/>
      <c r="B14" s="619"/>
      <c r="C14" s="619"/>
      <c r="D14" s="619"/>
      <c r="E14" s="619"/>
      <c r="F14" s="619"/>
    </row>
    <row r="15" spans="1:6" ht="15" customHeight="1">
      <c r="A15" s="600" t="str">
        <f>'2-Definition'!A15</f>
        <v>YOUR PROJECT</v>
      </c>
      <c r="B15" s="600"/>
      <c r="C15" s="600"/>
      <c r="D15" s="600"/>
      <c r="E15" s="600"/>
      <c r="F15" s="600"/>
    </row>
    <row r="16" spans="1:6" ht="12" customHeight="1">
      <c r="A16" s="599"/>
      <c r="B16" s="599"/>
      <c r="C16" s="599"/>
      <c r="D16" s="599"/>
      <c r="E16" s="599"/>
      <c r="F16" s="599"/>
    </row>
    <row r="17" spans="1:6" ht="12">
      <c r="A17" s="330" t="str">
        <f>'2-Definition'!A17</f>
        <v>Type of project</v>
      </c>
      <c r="B17" s="483" t="s">
        <v>73</v>
      </c>
      <c r="C17" s="483"/>
      <c r="D17" s="620">
        <f>IF(E70="Oui","SPECIAL","")</f>
      </c>
      <c r="E17" s="620"/>
      <c r="F17" s="620"/>
    </row>
    <row r="18" spans="1:6" ht="12" customHeight="1">
      <c r="A18" s="531"/>
      <c r="B18" s="531"/>
      <c r="C18" s="531"/>
      <c r="D18" s="531"/>
      <c r="E18" s="531"/>
      <c r="F18" s="531"/>
    </row>
    <row r="19" spans="1:6" ht="12" customHeight="1">
      <c r="A19" s="616"/>
      <c r="B19" s="616"/>
      <c r="C19" s="616"/>
      <c r="D19" s="616"/>
      <c r="E19" s="616"/>
      <c r="F19" s="616"/>
    </row>
    <row r="20" spans="1:6" ht="6" customHeight="1">
      <c r="A20" s="331"/>
      <c r="B20" s="332"/>
      <c r="C20" s="332"/>
      <c r="D20" s="332"/>
      <c r="E20" s="332"/>
      <c r="F20" s="333"/>
    </row>
    <row r="21" spans="1:6" ht="15" customHeight="1">
      <c r="A21" s="600" t="s">
        <v>663</v>
      </c>
      <c r="B21" s="600"/>
      <c r="C21" s="600"/>
      <c r="D21" s="600"/>
      <c r="E21" s="600"/>
      <c r="F21" s="600"/>
    </row>
    <row r="22" spans="1:6" ht="12">
      <c r="A22" s="613"/>
      <c r="B22" s="613"/>
      <c r="C22" s="613"/>
      <c r="D22" s="613"/>
      <c r="E22" s="613"/>
      <c r="F22" s="613"/>
    </row>
    <row r="23" spans="1:6" ht="12">
      <c r="A23" s="613"/>
      <c r="B23" s="613"/>
      <c r="C23" s="613"/>
      <c r="D23" s="613"/>
      <c r="E23" s="613"/>
      <c r="F23" s="613"/>
    </row>
    <row r="24" spans="1:6" ht="12" customHeight="1">
      <c r="A24" s="613"/>
      <c r="B24" s="613"/>
      <c r="C24" s="613"/>
      <c r="D24" s="613"/>
      <c r="E24" s="613"/>
      <c r="F24" s="613"/>
    </row>
    <row r="25" spans="1:6" ht="12" customHeight="1">
      <c r="A25" s="599"/>
      <c r="B25" s="599"/>
      <c r="C25" s="599"/>
      <c r="D25" s="599"/>
      <c r="E25" s="599"/>
      <c r="F25" s="599"/>
    </row>
    <row r="26" spans="1:6" ht="30" customHeight="1">
      <c r="A26" s="607" t="s">
        <v>664</v>
      </c>
      <c r="B26" s="607"/>
      <c r="C26" s="467"/>
      <c r="D26" s="467"/>
      <c r="E26" s="467"/>
      <c r="F26" s="467"/>
    </row>
    <row r="27" spans="1:6" ht="12" customHeight="1">
      <c r="A27" s="614"/>
      <c r="B27" s="614"/>
      <c r="C27" s="615"/>
      <c r="D27" s="615"/>
      <c r="E27" s="615"/>
      <c r="F27" s="615"/>
    </row>
    <row r="28" spans="1:6" ht="30" customHeight="1">
      <c r="A28" s="604" t="s">
        <v>665</v>
      </c>
      <c r="B28" s="604"/>
      <c r="C28" s="467"/>
      <c r="D28" s="467"/>
      <c r="E28" s="467"/>
      <c r="F28" s="467"/>
    </row>
    <row r="29" spans="1:6" ht="12" customHeight="1">
      <c r="A29" s="608"/>
      <c r="B29" s="608"/>
      <c r="C29" s="609"/>
      <c r="D29" s="609"/>
      <c r="E29" s="609"/>
      <c r="F29" s="609"/>
    </row>
    <row r="30" spans="1:6" ht="30" customHeight="1">
      <c r="A30" s="604" t="s">
        <v>666</v>
      </c>
      <c r="B30" s="604"/>
      <c r="C30" s="335" t="s">
        <v>455</v>
      </c>
      <c r="D30" s="336" t="b">
        <v>0</v>
      </c>
      <c r="E30" s="337"/>
      <c r="F30" s="334"/>
    </row>
    <row r="31" spans="1:6" ht="30" customHeight="1">
      <c r="A31" s="610" t="str">
        <f>IF(D30,"","You must analyse the consequences on safety in case of a system failure, and evaluate its criticity level.")</f>
        <v>You must analyse the consequences on safety in case of a system failure, and evaluate its criticity level.</v>
      </c>
      <c r="B31" s="610"/>
      <c r="C31" s="467"/>
      <c r="D31" s="467"/>
      <c r="E31" s="467"/>
      <c r="F31" s="467"/>
    </row>
    <row r="32" spans="1:6" ht="30" customHeight="1">
      <c r="A32" s="610"/>
      <c r="B32" s="610"/>
      <c r="C32" s="467"/>
      <c r="D32" s="467"/>
      <c r="E32" s="467"/>
      <c r="F32" s="467"/>
    </row>
    <row r="33" spans="1:6" ht="12" customHeight="1">
      <c r="A33" s="611"/>
      <c r="B33" s="611"/>
      <c r="C33" s="612"/>
      <c r="D33" s="612"/>
      <c r="E33" s="612"/>
      <c r="F33" s="612"/>
    </row>
    <row r="34" spans="1:6" ht="30" customHeight="1">
      <c r="A34" s="604" t="s">
        <v>667</v>
      </c>
      <c r="B34" s="604"/>
      <c r="C34" s="105" t="s">
        <v>73</v>
      </c>
      <c r="D34" s="605"/>
      <c r="E34" s="605"/>
      <c r="F34" s="605"/>
    </row>
    <row r="35" spans="1:6" ht="12" customHeight="1">
      <c r="A35" s="606"/>
      <c r="B35" s="606"/>
      <c r="C35" s="606"/>
      <c r="D35" s="606"/>
      <c r="E35" s="606"/>
      <c r="F35" s="606"/>
    </row>
    <row r="36" spans="1:6" ht="30" customHeight="1">
      <c r="A36" s="607" t="s">
        <v>668</v>
      </c>
      <c r="B36" s="607"/>
      <c r="C36" s="467"/>
      <c r="D36" s="467"/>
      <c r="E36" s="467"/>
      <c r="F36" s="467"/>
    </row>
    <row r="37" spans="1:6" ht="30" customHeight="1">
      <c r="A37" s="608"/>
      <c r="B37" s="608"/>
      <c r="C37" s="467"/>
      <c r="D37" s="467"/>
      <c r="E37" s="467"/>
      <c r="F37" s="467"/>
    </row>
    <row r="38" spans="1:6" ht="6" customHeight="1">
      <c r="A38" s="598"/>
      <c r="B38" s="598"/>
      <c r="C38" s="598"/>
      <c r="D38" s="598"/>
      <c r="E38" s="598"/>
      <c r="F38" s="598"/>
    </row>
    <row r="39" spans="1:6" ht="6" customHeight="1">
      <c r="A39" s="599"/>
      <c r="B39" s="599"/>
      <c r="C39" s="599"/>
      <c r="D39" s="599"/>
      <c r="E39" s="599"/>
      <c r="F39" s="599"/>
    </row>
    <row r="40" spans="1:6" ht="15" customHeight="1">
      <c r="A40" s="600" t="str">
        <f>A21</f>
        <v>DISPENSATION REQUEST</v>
      </c>
      <c r="B40" s="600"/>
      <c r="C40" s="600"/>
      <c r="D40" s="600"/>
      <c r="E40" s="600"/>
      <c r="F40" s="600"/>
    </row>
    <row r="41" spans="1:6" ht="12">
      <c r="A41" s="613"/>
      <c r="B41" s="613"/>
      <c r="C41" s="613"/>
      <c r="D41" s="613"/>
      <c r="E41" s="613"/>
      <c r="F41" s="613"/>
    </row>
    <row r="42" spans="1:6" ht="12">
      <c r="A42" s="613"/>
      <c r="B42" s="613"/>
      <c r="C42" s="613"/>
      <c r="D42" s="613"/>
      <c r="E42" s="613"/>
      <c r="F42" s="613"/>
    </row>
    <row r="43" spans="1:6" ht="12" customHeight="1">
      <c r="A43" s="613"/>
      <c r="B43" s="613"/>
      <c r="C43" s="613"/>
      <c r="D43" s="613"/>
      <c r="E43" s="613"/>
      <c r="F43" s="613"/>
    </row>
    <row r="44" spans="1:6" ht="12" customHeight="1">
      <c r="A44" s="599"/>
      <c r="B44" s="599"/>
      <c r="C44" s="599"/>
      <c r="D44" s="599"/>
      <c r="E44" s="599"/>
      <c r="F44" s="599"/>
    </row>
    <row r="45" spans="1:6" ht="30" customHeight="1">
      <c r="A45" s="607" t="str">
        <f>A26</f>
        <v>For which rule do you request for dispensation ?</v>
      </c>
      <c r="B45" s="607"/>
      <c r="C45" s="467"/>
      <c r="D45" s="467"/>
      <c r="E45" s="467"/>
      <c r="F45" s="467"/>
    </row>
    <row r="46" spans="1:6" ht="12" customHeight="1">
      <c r="A46" s="614"/>
      <c r="B46" s="614"/>
      <c r="C46" s="615"/>
      <c r="D46" s="615"/>
      <c r="E46" s="615"/>
      <c r="F46" s="615"/>
    </row>
    <row r="47" spans="1:6" ht="30" customHeight="1">
      <c r="A47" s="604" t="str">
        <f>A28</f>
        <v>Why ?</v>
      </c>
      <c r="B47" s="604"/>
      <c r="C47" s="467"/>
      <c r="D47" s="467"/>
      <c r="E47" s="467"/>
      <c r="F47" s="467"/>
    </row>
    <row r="48" spans="1:6" ht="12" customHeight="1">
      <c r="A48" s="608"/>
      <c r="B48" s="608"/>
      <c r="C48" s="609"/>
      <c r="D48" s="609"/>
      <c r="E48" s="609"/>
      <c r="F48" s="609"/>
    </row>
    <row r="49" spans="1:6" ht="30" customHeight="1">
      <c r="A49" s="604" t="str">
        <f>A30</f>
        <v>Did you prepare a risk analysis ?</v>
      </c>
      <c r="B49" s="604"/>
      <c r="C49" s="335" t="str">
        <f>C30</f>
        <v>YES</v>
      </c>
      <c r="D49" s="336" t="b">
        <v>0</v>
      </c>
      <c r="E49" s="338"/>
      <c r="F49" s="334"/>
    </row>
    <row r="50" spans="1:6" ht="30" customHeight="1">
      <c r="A50" s="610" t="str">
        <f>IF(D49,"","You must analyse the consequences on safety in case of a system failure, and evaluate its criticity level.")</f>
        <v>You must analyse the consequences on safety in case of a system failure, and evaluate its criticity level.</v>
      </c>
      <c r="B50" s="610"/>
      <c r="C50" s="467"/>
      <c r="D50" s="467"/>
      <c r="E50" s="467"/>
      <c r="F50" s="467"/>
    </row>
    <row r="51" spans="1:6" ht="30" customHeight="1">
      <c r="A51" s="610"/>
      <c r="B51" s="610"/>
      <c r="C51" s="467"/>
      <c r="D51" s="467"/>
      <c r="E51" s="467"/>
      <c r="F51" s="467"/>
    </row>
    <row r="52" spans="1:6" ht="12" customHeight="1">
      <c r="A52" s="611"/>
      <c r="B52" s="611"/>
      <c r="C52" s="612"/>
      <c r="D52" s="612"/>
      <c r="E52" s="612"/>
      <c r="F52" s="612"/>
    </row>
    <row r="53" spans="1:6" ht="30" customHeight="1">
      <c r="A53" s="604" t="str">
        <f>A34</f>
        <v>What is the consequence for your project in case if the dispensation is not granted ?</v>
      </c>
      <c r="B53" s="604"/>
      <c r="C53" s="105" t="s">
        <v>73</v>
      </c>
      <c r="D53" s="605"/>
      <c r="E53" s="605"/>
      <c r="F53" s="605"/>
    </row>
    <row r="54" spans="1:6" ht="12" customHeight="1">
      <c r="A54" s="606"/>
      <c r="B54" s="606"/>
      <c r="C54" s="606"/>
      <c r="D54" s="606"/>
      <c r="E54" s="606"/>
      <c r="F54" s="606"/>
    </row>
    <row r="55" spans="1:6" ht="30" customHeight="1">
      <c r="A55" s="607" t="str">
        <f>A36</f>
        <v>Precise</v>
      </c>
      <c r="B55" s="607"/>
      <c r="C55" s="467"/>
      <c r="D55" s="467"/>
      <c r="E55" s="467"/>
      <c r="F55" s="467"/>
    </row>
    <row r="56" spans="1:6" ht="30" customHeight="1">
      <c r="A56" s="608"/>
      <c r="B56" s="608"/>
      <c r="C56" s="467"/>
      <c r="D56" s="467"/>
      <c r="E56" s="467"/>
      <c r="F56" s="467"/>
    </row>
    <row r="57" spans="1:6" ht="6" customHeight="1">
      <c r="A57" s="598"/>
      <c r="B57" s="598"/>
      <c r="C57" s="598"/>
      <c r="D57" s="598"/>
      <c r="E57" s="598"/>
      <c r="F57" s="598"/>
    </row>
    <row r="58" spans="1:6" ht="6" customHeight="1">
      <c r="A58" s="599"/>
      <c r="B58" s="599"/>
      <c r="C58" s="599"/>
      <c r="D58" s="599"/>
      <c r="E58" s="599"/>
      <c r="F58" s="599"/>
    </row>
    <row r="59" spans="1:6" ht="15" customHeight="1">
      <c r="A59" s="600" t="s">
        <v>231</v>
      </c>
      <c r="B59" s="600"/>
      <c r="C59" s="600"/>
      <c r="D59" s="600"/>
      <c r="E59" s="600"/>
      <c r="F59" s="600"/>
    </row>
    <row r="60" spans="1:6" ht="12" customHeight="1">
      <c r="A60" s="601" t="str">
        <f>'2-Definition'!A118</f>
        <v>This section is dedicated for comments made by Planete Sciences about your project</v>
      </c>
      <c r="B60" s="601"/>
      <c r="C60" s="601"/>
      <c r="D60" s="601"/>
      <c r="E60" s="601"/>
      <c r="F60" s="601"/>
    </row>
    <row r="61" spans="1:6" ht="12" customHeight="1">
      <c r="A61" s="531"/>
      <c r="B61" s="531"/>
      <c r="C61" s="531"/>
      <c r="D61" s="531"/>
      <c r="E61" s="531"/>
      <c r="F61" s="531"/>
    </row>
    <row r="62" spans="1:6" ht="15" customHeight="1">
      <c r="A62" s="626">
        <f>IF(D30,"Joindre l'analyse de risques à la demande",IF(D49,"Joindre l'analyse de risques à la demande",""))</f>
      </c>
      <c r="B62" s="626"/>
      <c r="C62" s="626"/>
      <c r="D62" s="626"/>
      <c r="E62" s="626"/>
      <c r="F62" s="626"/>
    </row>
    <row r="63" spans="1:6" ht="15" customHeight="1">
      <c r="A63" s="602"/>
      <c r="B63" s="602"/>
      <c r="C63" s="602"/>
      <c r="D63" s="602"/>
      <c r="E63" s="602"/>
      <c r="F63" s="602"/>
    </row>
    <row r="64" spans="1:6" ht="15" customHeight="1">
      <c r="A64" s="602"/>
      <c r="B64" s="602"/>
      <c r="C64" s="602"/>
      <c r="D64" s="602"/>
      <c r="E64" s="602"/>
      <c r="F64" s="602"/>
    </row>
    <row r="65" spans="1:6" ht="15" customHeight="1">
      <c r="A65" s="602"/>
      <c r="B65" s="602"/>
      <c r="C65" s="602"/>
      <c r="D65" s="602"/>
      <c r="E65" s="602"/>
      <c r="F65" s="602"/>
    </row>
    <row r="66" spans="1:6" ht="15" customHeight="1">
      <c r="A66" s="602"/>
      <c r="B66" s="602"/>
      <c r="C66" s="602"/>
      <c r="D66" s="602"/>
      <c r="E66" s="602"/>
      <c r="F66" s="602"/>
    </row>
    <row r="67" spans="1:6" ht="15" customHeight="1">
      <c r="A67" s="602"/>
      <c r="B67" s="602"/>
      <c r="C67" s="602"/>
      <c r="D67" s="602"/>
      <c r="E67" s="602"/>
      <c r="F67" s="602"/>
    </row>
    <row r="68" spans="1:6" ht="12" customHeight="1">
      <c r="A68" s="603"/>
      <c r="B68" s="603"/>
      <c r="C68" s="603"/>
      <c r="D68" s="603"/>
      <c r="E68" s="603"/>
      <c r="F68" s="603"/>
    </row>
    <row r="69" spans="1:6" ht="15" customHeight="1">
      <c r="A69" s="444" t="s">
        <v>669</v>
      </c>
      <c r="B69" s="444"/>
      <c r="C69" s="444"/>
      <c r="D69" s="444"/>
      <c r="E69" s="512" t="s">
        <v>73</v>
      </c>
      <c r="F69" s="512"/>
    </row>
    <row r="70" spans="1:6" ht="15" customHeight="1">
      <c r="A70" s="444" t="str">
        <f>'2-Definition'!A128</f>
        <v>Is this a special project ?</v>
      </c>
      <c r="B70" s="444"/>
      <c r="C70" s="444"/>
      <c r="D70" s="444"/>
      <c r="E70" s="512" t="s">
        <v>73</v>
      </c>
      <c r="F70" s="512"/>
    </row>
    <row r="71" spans="1:6" ht="12">
      <c r="A71" s="441" t="str">
        <f>'2-Definition'!A129</f>
        <v>Is a Risk Analysis requested ?</v>
      </c>
      <c r="B71" s="441"/>
      <c r="C71" s="441"/>
      <c r="D71" s="441"/>
      <c r="E71" s="512" t="s">
        <v>73</v>
      </c>
      <c r="F71" s="512"/>
    </row>
  </sheetData>
  <sheetProtection password="DD05" sheet="1" objects="1" scenarios="1"/>
  <mergeCells count="79">
    <mergeCell ref="A7:F8"/>
    <mergeCell ref="A9:F9"/>
    <mergeCell ref="A1:F1"/>
    <mergeCell ref="A2:F2"/>
    <mergeCell ref="A3:F3"/>
    <mergeCell ref="A4:F4"/>
    <mergeCell ref="A5:F5"/>
    <mergeCell ref="A6:F6"/>
    <mergeCell ref="C27:F27"/>
    <mergeCell ref="A10:F10"/>
    <mergeCell ref="B11:F11"/>
    <mergeCell ref="A12:F12"/>
    <mergeCell ref="B13:F13"/>
    <mergeCell ref="A14:F14"/>
    <mergeCell ref="A15:F15"/>
    <mergeCell ref="A16:F16"/>
    <mergeCell ref="B17:C17"/>
    <mergeCell ref="D17:F17"/>
    <mergeCell ref="A33:B33"/>
    <mergeCell ref="C33:F33"/>
    <mergeCell ref="A18:F18"/>
    <mergeCell ref="A19:F19"/>
    <mergeCell ref="A21:F21"/>
    <mergeCell ref="A22:F24"/>
    <mergeCell ref="A25:F25"/>
    <mergeCell ref="A26:B26"/>
    <mergeCell ref="C26:F26"/>
    <mergeCell ref="A27:B27"/>
    <mergeCell ref="A28:B28"/>
    <mergeCell ref="C28:F28"/>
    <mergeCell ref="A29:B29"/>
    <mergeCell ref="C29:F29"/>
    <mergeCell ref="A30:B30"/>
    <mergeCell ref="A31:B32"/>
    <mergeCell ref="C31:F32"/>
    <mergeCell ref="C46:F46"/>
    <mergeCell ref="A34:B34"/>
    <mergeCell ref="D34:F34"/>
    <mergeCell ref="A35:F35"/>
    <mergeCell ref="A36:B36"/>
    <mergeCell ref="C36:F37"/>
    <mergeCell ref="A37:B37"/>
    <mergeCell ref="A52:B52"/>
    <mergeCell ref="C52:F52"/>
    <mergeCell ref="A38:F38"/>
    <mergeCell ref="A39:F39"/>
    <mergeCell ref="A40:F40"/>
    <mergeCell ref="A41:F43"/>
    <mergeCell ref="A44:F44"/>
    <mergeCell ref="A45:B45"/>
    <mergeCell ref="C45:F45"/>
    <mergeCell ref="A46:B46"/>
    <mergeCell ref="A47:B47"/>
    <mergeCell ref="C47:F47"/>
    <mergeCell ref="A48:B48"/>
    <mergeCell ref="C48:F48"/>
    <mergeCell ref="A49:B49"/>
    <mergeCell ref="A50:B51"/>
    <mergeCell ref="C50:F51"/>
    <mergeCell ref="A63:F67"/>
    <mergeCell ref="A68:F68"/>
    <mergeCell ref="A53:B53"/>
    <mergeCell ref="D53:F53"/>
    <mergeCell ref="A54:F54"/>
    <mergeCell ref="A55:B55"/>
    <mergeCell ref="C55:F56"/>
    <mergeCell ref="A56:B56"/>
    <mergeCell ref="A57:F57"/>
    <mergeCell ref="A58:F58"/>
    <mergeCell ref="A59:F59"/>
    <mergeCell ref="A60:F60"/>
    <mergeCell ref="A61:F61"/>
    <mergeCell ref="A62:F62"/>
    <mergeCell ref="A71:D71"/>
    <mergeCell ref="E71:F71"/>
    <mergeCell ref="A69:D69"/>
    <mergeCell ref="E69:F69"/>
    <mergeCell ref="A70:D70"/>
    <mergeCell ref="E70:F70"/>
  </mergeCells>
  <conditionalFormatting sqref="B17:C17 C34 C53 E69:F71">
    <cfRule type="cellIs" priority="1" dxfId="0" operator="equal" stopIfTrue="1">
      <formula>"Select…"</formula>
    </cfRule>
  </conditionalFormatting>
  <dataValidations count="4">
    <dataValidation type="list" allowBlank="1" showErrorMessage="1" sqref="I30 I49">
      <formula1>Question</formula1>
      <formula2>0</formula2>
    </dataValidation>
    <dataValidation type="list" allowBlank="1" showErrorMessage="1" sqref="B17:C17">
      <formula1>ProjectType</formula1>
      <formula2>0</formula2>
    </dataValidation>
    <dataValidation type="list" allowBlank="1" showErrorMessage="1" sqref="C34 C53">
      <formula1>DispensationType</formula1>
      <formula2>0</formula2>
    </dataValidation>
    <dataValidation type="list" allowBlank="1" showErrorMessage="1" sqref="E69:F71">
      <formula1>QuestionType</formula1>
      <formula2>0</formula2>
    </dataValidation>
  </dataValidations>
  <printOptions gridLines="1" horizontalCentered="1"/>
  <pageMargins left="0.7875" right="0.7875" top="0.4722222222222222" bottom="0.4722222222222222" header="0.5118055555555555" footer="0.5118055555555555"/>
  <pageSetup horizontalDpi="300" verticalDpi="300" orientation="portrait" paperSize="9" scale="65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showGridLines="0" workbookViewId="0" topLeftCell="A1">
      <selection activeCell="A6" sqref="A6"/>
    </sheetView>
  </sheetViews>
  <sheetFormatPr defaultColWidth="11.421875" defaultRowHeight="12.75"/>
  <cols>
    <col min="1" max="1" width="51.7109375" style="0" customWidth="1"/>
    <col min="2" max="2" width="14.28125" style="0" customWidth="1"/>
  </cols>
  <sheetData>
    <row r="1" spans="1:2" ht="12">
      <c r="A1" s="66" t="s">
        <v>670</v>
      </c>
      <c r="B1" s="339" t="s">
        <v>11</v>
      </c>
    </row>
    <row r="2" spans="1:2" ht="12">
      <c r="A2" s="66" t="s">
        <v>671</v>
      </c>
      <c r="B2" s="339" t="s">
        <v>11</v>
      </c>
    </row>
    <row r="3" spans="1:2" ht="12">
      <c r="A3" s="66" t="s">
        <v>672</v>
      </c>
      <c r="B3" s="339" t="s">
        <v>11</v>
      </c>
    </row>
    <row r="4" ht="12">
      <c r="A4" s="66"/>
    </row>
    <row r="5" spans="1:2" ht="12">
      <c r="A5" s="66" t="s">
        <v>673</v>
      </c>
      <c r="B5" s="339" t="s">
        <v>11</v>
      </c>
    </row>
    <row r="6" spans="1:2" ht="12">
      <c r="A6" s="66" t="s">
        <v>671</v>
      </c>
      <c r="B6" s="339" t="s">
        <v>11</v>
      </c>
    </row>
    <row r="7" spans="1:2" ht="12">
      <c r="A7" s="66" t="s">
        <v>672</v>
      </c>
      <c r="B7" s="339" t="s">
        <v>11</v>
      </c>
    </row>
    <row r="8" ht="12">
      <c r="A8" s="66"/>
    </row>
    <row r="9" spans="1:2" ht="12">
      <c r="A9" s="66" t="s">
        <v>674</v>
      </c>
      <c r="B9" s="339" t="s">
        <v>11</v>
      </c>
    </row>
    <row r="10" spans="1:2" ht="12">
      <c r="A10" s="66" t="s">
        <v>671</v>
      </c>
      <c r="B10" s="339" t="s">
        <v>11</v>
      </c>
    </row>
    <row r="11" spans="1:2" ht="12">
      <c r="A11" s="66" t="s">
        <v>672</v>
      </c>
      <c r="B11" s="339" t="s">
        <v>11</v>
      </c>
    </row>
    <row r="12" ht="12">
      <c r="A12" s="66"/>
    </row>
    <row r="13" spans="1:2" ht="12">
      <c r="A13" s="66" t="s">
        <v>675</v>
      </c>
      <c r="B13" s="339" t="s">
        <v>11</v>
      </c>
    </row>
    <row r="14" spans="1:2" ht="12">
      <c r="A14" s="66" t="s">
        <v>671</v>
      </c>
      <c r="B14" s="339" t="s">
        <v>11</v>
      </c>
    </row>
    <row r="15" spans="1:2" ht="12">
      <c r="A15" s="66" t="s">
        <v>672</v>
      </c>
      <c r="B15" s="339" t="s">
        <v>11</v>
      </c>
    </row>
  </sheetData>
  <sheetProtection password="DD05" sheet="1" objects="1" scenarios="1"/>
  <conditionalFormatting sqref="B1:B3 B5:B7 B9:B11 B13:B15">
    <cfRule type="cellIs" priority="1" dxfId="0" operator="equal" stopIfTrue="1">
      <formula>"Sélectionner …"</formula>
    </cfRule>
  </conditionalFormatting>
  <dataValidations count="1">
    <dataValidation type="list" allowBlank="1" showErrorMessage="1" sqref="B1:B3 B5:B7 B9:B11 B13:B15">
      <formula1>TypeQuestion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5"/>
  <sheetViews>
    <sheetView showGridLines="0" workbookViewId="0" topLeftCell="A1">
      <selection activeCell="O8" sqref="O8"/>
    </sheetView>
  </sheetViews>
  <sheetFormatPr defaultColWidth="11.57421875" defaultRowHeight="12.75"/>
  <cols>
    <col min="1" max="1" width="21.140625" style="39" customWidth="1"/>
    <col min="2" max="2" width="3.140625" style="39" customWidth="1"/>
    <col min="3" max="3" width="23.421875" style="39" customWidth="1"/>
    <col min="4" max="4" width="3.00390625" style="39" customWidth="1"/>
    <col min="5" max="5" width="14.140625" style="39" customWidth="1"/>
    <col min="6" max="6" width="2.8515625" style="39" customWidth="1"/>
    <col min="7" max="7" width="30.00390625" style="39" customWidth="1"/>
    <col min="8" max="8" width="3.28125" style="39" customWidth="1"/>
    <col min="9" max="9" width="14.28125" style="39" customWidth="1"/>
    <col min="10" max="10" width="2.8515625" style="39" customWidth="1"/>
    <col min="11" max="11" width="19.421875" style="39" customWidth="1"/>
    <col min="12" max="12" width="3.00390625" style="39" customWidth="1"/>
    <col min="13" max="13" width="17.140625" style="39" customWidth="1"/>
    <col min="14" max="14" width="3.00390625" style="39" customWidth="1"/>
    <col min="15" max="15" width="31.140625" style="39" customWidth="1"/>
    <col min="16" max="16" width="2.8515625" style="39" customWidth="1"/>
    <col min="17" max="17" width="15.421875" style="39" customWidth="1"/>
    <col min="18" max="18" width="3.421875" style="39" customWidth="1"/>
    <col min="19" max="19" width="19.7109375" style="39" customWidth="1"/>
    <col min="20" max="20" width="3.7109375" style="39" customWidth="1"/>
    <col min="21" max="21" width="13.7109375" style="39" customWidth="1"/>
    <col min="22" max="22" width="3.7109375" style="39" customWidth="1"/>
    <col min="23" max="23" width="23.421875" style="39" customWidth="1"/>
    <col min="24" max="16384" width="11.421875" style="39" customWidth="1"/>
  </cols>
  <sheetData>
    <row r="1" spans="1:23" ht="12">
      <c r="A1" s="66" t="s">
        <v>676</v>
      </c>
      <c r="B1" s="66"/>
      <c r="C1" s="66" t="s">
        <v>33</v>
      </c>
      <c r="D1" s="66"/>
      <c r="E1" s="66" t="s">
        <v>34</v>
      </c>
      <c r="F1" s="66"/>
      <c r="G1" s="66" t="s">
        <v>677</v>
      </c>
      <c r="H1" s="66"/>
      <c r="I1" s="66" t="s">
        <v>678</v>
      </c>
      <c r="J1" s="66"/>
      <c r="K1" s="66" t="s">
        <v>679</v>
      </c>
      <c r="M1" s="66" t="s">
        <v>680</v>
      </c>
      <c r="N1" s="66"/>
      <c r="O1" s="66" t="s">
        <v>681</v>
      </c>
      <c r="P1" s="66"/>
      <c r="Q1" s="66" t="s">
        <v>682</v>
      </c>
      <c r="R1" s="66"/>
      <c r="S1" s="66" t="s">
        <v>683</v>
      </c>
      <c r="T1" s="66"/>
      <c r="U1" s="66" t="s">
        <v>684</v>
      </c>
      <c r="V1" s="66"/>
      <c r="W1" s="66" t="s">
        <v>685</v>
      </c>
    </row>
    <row r="3" spans="1:23" ht="12">
      <c r="A3" s="340" t="s">
        <v>11</v>
      </c>
      <c r="C3" s="341" t="s">
        <v>11</v>
      </c>
      <c r="E3" s="341" t="s">
        <v>11</v>
      </c>
      <c r="G3" s="340" t="s">
        <v>11</v>
      </c>
      <c r="I3" s="340" t="s">
        <v>11</v>
      </c>
      <c r="K3" s="340" t="s">
        <v>11</v>
      </c>
      <c r="M3" s="340" t="s">
        <v>11</v>
      </c>
      <c r="O3" s="340" t="s">
        <v>11</v>
      </c>
      <c r="Q3" s="340" t="s">
        <v>11</v>
      </c>
      <c r="S3" s="340" t="s">
        <v>11</v>
      </c>
      <c r="U3" s="340" t="s">
        <v>11</v>
      </c>
      <c r="W3" s="340" t="s">
        <v>11</v>
      </c>
    </row>
    <row r="4" spans="1:23" ht="12.75">
      <c r="A4" s="342" t="s">
        <v>686</v>
      </c>
      <c r="C4" s="342" t="s">
        <v>687</v>
      </c>
      <c r="E4" s="342" t="s">
        <v>687</v>
      </c>
      <c r="G4" s="342" t="s">
        <v>688</v>
      </c>
      <c r="I4" s="342" t="s">
        <v>689</v>
      </c>
      <c r="K4" s="342" t="s">
        <v>690</v>
      </c>
      <c r="M4" s="342" t="s">
        <v>691</v>
      </c>
      <c r="O4" s="345" t="s">
        <v>700</v>
      </c>
      <c r="Q4" s="343" t="s">
        <v>292</v>
      </c>
      <c r="S4" s="343" t="s">
        <v>692</v>
      </c>
      <c r="U4" s="342" t="s">
        <v>253</v>
      </c>
      <c r="W4" s="342" t="s">
        <v>693</v>
      </c>
    </row>
    <row r="5" spans="1:23" ht="12.75">
      <c r="A5" s="342" t="s">
        <v>694</v>
      </c>
      <c r="C5" s="342" t="s">
        <v>695</v>
      </c>
      <c r="E5" s="342" t="s">
        <v>696</v>
      </c>
      <c r="G5" s="342" t="s">
        <v>697</v>
      </c>
      <c r="I5" s="344" t="s">
        <v>157</v>
      </c>
      <c r="K5" s="342" t="s">
        <v>698</v>
      </c>
      <c r="M5" s="344" t="s">
        <v>699</v>
      </c>
      <c r="O5" s="345" t="s">
        <v>708</v>
      </c>
      <c r="Q5" s="343" t="s">
        <v>701</v>
      </c>
      <c r="S5" s="346" t="s">
        <v>702</v>
      </c>
      <c r="U5" s="344" t="s">
        <v>703</v>
      </c>
      <c r="W5" s="342" t="s">
        <v>704</v>
      </c>
    </row>
    <row r="6" spans="1:23" ht="12.75">
      <c r="A6" s="342" t="s">
        <v>705</v>
      </c>
      <c r="C6" s="342" t="s">
        <v>706</v>
      </c>
      <c r="E6" s="344" t="s">
        <v>157</v>
      </c>
      <c r="G6" s="344" t="s">
        <v>707</v>
      </c>
      <c r="K6" s="344" t="s">
        <v>157</v>
      </c>
      <c r="O6" s="345" t="s">
        <v>713</v>
      </c>
      <c r="Q6" s="343" t="s">
        <v>709</v>
      </c>
      <c r="W6" s="344" t="s">
        <v>710</v>
      </c>
    </row>
    <row r="7" spans="1:17" ht="12.75">
      <c r="A7" s="344" t="s">
        <v>711</v>
      </c>
      <c r="C7" s="342" t="s">
        <v>712</v>
      </c>
      <c r="O7" s="345" t="s">
        <v>715</v>
      </c>
      <c r="Q7" s="343" t="s">
        <v>714</v>
      </c>
    </row>
    <row r="8" spans="3:17" ht="12.75">
      <c r="C8" s="357" t="s">
        <v>760</v>
      </c>
      <c r="O8" s="345" t="s">
        <v>716</v>
      </c>
      <c r="Q8" s="346" t="s">
        <v>575</v>
      </c>
    </row>
    <row r="9" spans="3:15" ht="12.75">
      <c r="C9" s="358" t="s">
        <v>157</v>
      </c>
      <c r="O9" s="345" t="s">
        <v>717</v>
      </c>
    </row>
    <row r="10" ht="12.75">
      <c r="O10" s="345" t="s">
        <v>157</v>
      </c>
    </row>
    <row r="11" ht="12.75">
      <c r="O11" s="345"/>
    </row>
    <row r="12" ht="12.75">
      <c r="O12" s="347"/>
    </row>
    <row r="14" spans="1:23" ht="12">
      <c r="A14" s="66" t="s">
        <v>718</v>
      </c>
      <c r="B14" s="66"/>
      <c r="C14" s="66" t="s">
        <v>228</v>
      </c>
      <c r="D14" s="66"/>
      <c r="E14" s="348" t="s">
        <v>229</v>
      </c>
      <c r="F14" s="348"/>
      <c r="G14" s="348" t="s">
        <v>719</v>
      </c>
      <c r="I14" s="66" t="s">
        <v>720</v>
      </c>
      <c r="J14" s="66"/>
      <c r="K14" s="66" t="s">
        <v>679</v>
      </c>
      <c r="L14" s="66"/>
      <c r="M14" s="66" t="s">
        <v>721</v>
      </c>
      <c r="N14" s="66"/>
      <c r="O14" s="66" t="s">
        <v>722</v>
      </c>
      <c r="P14" s="66"/>
      <c r="Q14" s="66" t="s">
        <v>723</v>
      </c>
      <c r="R14" s="66"/>
      <c r="S14" s="66" t="s">
        <v>724</v>
      </c>
      <c r="T14" s="66"/>
      <c r="U14" s="66" t="s">
        <v>684</v>
      </c>
      <c r="V14" s="66"/>
      <c r="W14" s="66" t="s">
        <v>725</v>
      </c>
    </row>
    <row r="15" spans="5:7" ht="12">
      <c r="E15" s="46"/>
      <c r="F15" s="46"/>
      <c r="G15" s="46"/>
    </row>
    <row r="16" spans="1:23" ht="12">
      <c r="A16" s="349" t="s">
        <v>73</v>
      </c>
      <c r="C16" s="349" t="s">
        <v>73</v>
      </c>
      <c r="E16" s="349" t="s">
        <v>73</v>
      </c>
      <c r="G16" s="349" t="s">
        <v>73</v>
      </c>
      <c r="I16" s="349" t="s">
        <v>73</v>
      </c>
      <c r="K16" s="349" t="s">
        <v>73</v>
      </c>
      <c r="M16" s="349" t="s">
        <v>73</v>
      </c>
      <c r="O16" s="349" t="s">
        <v>73</v>
      </c>
      <c r="Q16" s="349" t="s">
        <v>73</v>
      </c>
      <c r="S16" s="349" t="s">
        <v>73</v>
      </c>
      <c r="U16" s="349" t="s">
        <v>73</v>
      </c>
      <c r="W16" s="349" t="s">
        <v>73</v>
      </c>
    </row>
    <row r="17" spans="1:23" ht="12.75">
      <c r="A17" s="342" t="s">
        <v>726</v>
      </c>
      <c r="C17" s="342" t="s">
        <v>727</v>
      </c>
      <c r="E17" s="342" t="s">
        <v>727</v>
      </c>
      <c r="F17" s="46"/>
      <c r="G17" s="342" t="s">
        <v>728</v>
      </c>
      <c r="I17" s="342" t="s">
        <v>689</v>
      </c>
      <c r="K17" s="342" t="s">
        <v>729</v>
      </c>
      <c r="M17" s="342" t="s">
        <v>730</v>
      </c>
      <c r="O17" s="343" t="s">
        <v>738</v>
      </c>
      <c r="Q17" s="342" t="s">
        <v>618</v>
      </c>
      <c r="S17" s="342" t="s">
        <v>731</v>
      </c>
      <c r="U17" s="342" t="s">
        <v>732</v>
      </c>
      <c r="W17" s="342" t="s">
        <v>733</v>
      </c>
    </row>
    <row r="18" spans="1:23" ht="12.75">
      <c r="A18" s="342" t="s">
        <v>734</v>
      </c>
      <c r="C18" s="342" t="s">
        <v>695</v>
      </c>
      <c r="E18" s="342" t="s">
        <v>696</v>
      </c>
      <c r="F18" s="46"/>
      <c r="G18" s="342" t="s">
        <v>735</v>
      </c>
      <c r="I18" s="344" t="s">
        <v>214</v>
      </c>
      <c r="K18" s="342" t="s">
        <v>736</v>
      </c>
      <c r="M18" s="344" t="s">
        <v>737</v>
      </c>
      <c r="O18" s="343" t="s">
        <v>746</v>
      </c>
      <c r="Q18" s="342" t="s">
        <v>739</v>
      </c>
      <c r="S18" s="344" t="s">
        <v>740</v>
      </c>
      <c r="U18" s="344" t="s">
        <v>741</v>
      </c>
      <c r="W18" s="350" t="s">
        <v>742</v>
      </c>
    </row>
    <row r="19" spans="1:23" ht="12.75">
      <c r="A19" s="342" t="s">
        <v>743</v>
      </c>
      <c r="C19" s="342" t="s">
        <v>744</v>
      </c>
      <c r="E19" s="344" t="s">
        <v>214</v>
      </c>
      <c r="F19" s="46"/>
      <c r="G19" s="344" t="s">
        <v>745</v>
      </c>
      <c r="K19" s="344" t="s">
        <v>214</v>
      </c>
      <c r="O19" s="343" t="s">
        <v>750</v>
      </c>
      <c r="Q19" s="342" t="s">
        <v>747</v>
      </c>
      <c r="W19" s="351" t="s">
        <v>748</v>
      </c>
    </row>
    <row r="20" spans="1:17" ht="12.75">
      <c r="A20" s="344" t="s">
        <v>749</v>
      </c>
      <c r="C20" s="342" t="s">
        <v>712</v>
      </c>
      <c r="O20" s="343" t="s">
        <v>752</v>
      </c>
      <c r="Q20" s="342" t="s">
        <v>751</v>
      </c>
    </row>
    <row r="21" spans="3:17" ht="12.75">
      <c r="C21" s="357" t="s">
        <v>760</v>
      </c>
      <c r="O21" s="343" t="s">
        <v>754</v>
      </c>
      <c r="Q21" s="344" t="s">
        <v>753</v>
      </c>
    </row>
    <row r="22" spans="3:15" ht="12.75">
      <c r="C22" s="358" t="s">
        <v>214</v>
      </c>
      <c r="O22" s="343" t="s">
        <v>755</v>
      </c>
    </row>
    <row r="23" ht="12.75">
      <c r="O23" s="343" t="s">
        <v>214</v>
      </c>
    </row>
    <row r="24" ht="12.75">
      <c r="O24" s="343"/>
    </row>
    <row r="25" ht="12.75">
      <c r="O25" s="346"/>
    </row>
    <row r="26" ht="12">
      <c r="A26" s="66" t="s">
        <v>756</v>
      </c>
    </row>
    <row r="28" ht="12">
      <c r="A28" t="s">
        <v>765</v>
      </c>
    </row>
    <row r="30" spans="1:3" ht="12">
      <c r="A30" s="66" t="s">
        <v>757</v>
      </c>
      <c r="C30" s="66" t="s">
        <v>758</v>
      </c>
    </row>
    <row r="32" spans="1:3" ht="12">
      <c r="A32" s="354" t="s">
        <v>766</v>
      </c>
      <c r="C32" t="s">
        <v>770</v>
      </c>
    </row>
    <row r="33" spans="1:3" ht="12">
      <c r="A33" s="354" t="s">
        <v>767</v>
      </c>
      <c r="C33" t="s">
        <v>771</v>
      </c>
    </row>
    <row r="34" spans="1:3" ht="12">
      <c r="A34" s="354" t="s">
        <v>772</v>
      </c>
      <c r="C34" t="s">
        <v>773</v>
      </c>
    </row>
    <row r="35" spans="1:3" ht="12">
      <c r="A35" s="354" t="s">
        <v>769</v>
      </c>
      <c r="C35" t="s">
        <v>768</v>
      </c>
    </row>
    <row r="63" ht="13.5" customHeight="1"/>
  </sheetData>
  <sheetProtection password="DD05"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8"/>
  <sheetViews>
    <sheetView showGridLines="0" zoomScale="85" zoomScaleNormal="85" zoomScaleSheetLayoutView="85" workbookViewId="0" topLeftCell="A1">
      <selection activeCell="E14" sqref="E14"/>
    </sheetView>
  </sheetViews>
  <sheetFormatPr defaultColWidth="11.57421875" defaultRowHeight="12.75" outlineLevelRow="1"/>
  <cols>
    <col min="1" max="1" width="22.8515625" style="39" customWidth="1"/>
    <col min="2" max="2" width="22.00390625" style="39" customWidth="1"/>
    <col min="3" max="3" width="94.28125" style="39" customWidth="1"/>
    <col min="4" max="16384" width="11.421875" style="39" customWidth="1"/>
  </cols>
  <sheetData>
    <row r="1" spans="1:3" ht="24" customHeight="1">
      <c r="A1" s="409" t="str">
        <f>ANNEE</f>
        <v>2011-2012</v>
      </c>
      <c r="B1" s="409"/>
      <c r="C1" s="409"/>
    </row>
    <row r="2" spans="1:3" ht="18">
      <c r="A2" s="410" t="s">
        <v>4</v>
      </c>
      <c r="B2" s="410"/>
      <c r="C2" s="410"/>
    </row>
    <row r="3" spans="1:3" ht="12">
      <c r="A3" s="40"/>
      <c r="B3" s="40"/>
      <c r="C3" s="40"/>
    </row>
    <row r="4" spans="1:3" ht="15">
      <c r="A4" s="411" t="str">
        <f>"A retourner avant le "&amp;Source!A32</f>
        <v>A retourner avant le 31 décembre 2011</v>
      </c>
      <c r="B4" s="411"/>
      <c r="C4" s="411"/>
    </row>
    <row r="5" spans="1:3" ht="12">
      <c r="A5" s="40"/>
      <c r="B5" s="40"/>
      <c r="C5" s="40"/>
    </row>
    <row r="6" spans="1:3" ht="12">
      <c r="A6" s="412" t="s">
        <v>5</v>
      </c>
      <c r="B6" s="412"/>
      <c r="C6" s="412"/>
    </row>
    <row r="7" spans="1:3" ht="12">
      <c r="A7" s="41"/>
      <c r="B7" s="42"/>
      <c r="C7" s="43"/>
    </row>
    <row r="8" spans="1:3" ht="12">
      <c r="A8" s="400" t="s">
        <v>6</v>
      </c>
      <c r="B8" s="400"/>
      <c r="C8" s="400"/>
    </row>
    <row r="9" spans="1:3" ht="12">
      <c r="A9" s="400" t="s">
        <v>7</v>
      </c>
      <c r="B9" s="400"/>
      <c r="C9" s="400"/>
    </row>
    <row r="10" spans="1:3" ht="12">
      <c r="A10" s="401" t="s">
        <v>8</v>
      </c>
      <c r="B10" s="401"/>
      <c r="C10" s="401"/>
    </row>
    <row r="11" spans="1:3" ht="6.75" customHeight="1">
      <c r="A11" s="40"/>
      <c r="B11" s="40"/>
      <c r="C11" s="44"/>
    </row>
    <row r="12" spans="1:4" ht="16.5">
      <c r="A12" s="45" t="s">
        <v>9</v>
      </c>
      <c r="B12" s="402" t="s">
        <v>781</v>
      </c>
      <c r="C12" s="402"/>
      <c r="D12" s="46"/>
    </row>
    <row r="13" spans="1:4" ht="6.75" customHeight="1">
      <c r="A13" s="391"/>
      <c r="B13" s="392"/>
      <c r="C13" s="393"/>
      <c r="D13" s="46"/>
    </row>
    <row r="14" spans="1:4" ht="16.5">
      <c r="A14" s="50" t="s">
        <v>10</v>
      </c>
      <c r="B14" s="51" t="s">
        <v>686</v>
      </c>
      <c r="C14" s="52"/>
      <c r="D14" s="46"/>
    </row>
    <row r="15" spans="1:4" ht="18" thickBot="1">
      <c r="A15" s="394"/>
      <c r="B15" s="395"/>
      <c r="C15" s="396"/>
      <c r="D15" s="46"/>
    </row>
    <row r="16" spans="1:4" ht="6.75" customHeight="1" thickBot="1">
      <c r="A16" s="46"/>
      <c r="B16" s="46"/>
      <c r="C16" s="53"/>
      <c r="D16" s="46"/>
    </row>
    <row r="17" spans="1:4" ht="15.75" thickBot="1">
      <c r="A17" s="379" t="s">
        <v>12</v>
      </c>
      <c r="B17" s="380"/>
      <c r="C17" s="385"/>
      <c r="D17" s="56"/>
    </row>
    <row r="18" spans="1:4" ht="12.75" thickBot="1">
      <c r="A18" s="397" t="s">
        <v>13</v>
      </c>
      <c r="B18" s="398" t="s">
        <v>779</v>
      </c>
      <c r="C18" s="399"/>
      <c r="D18" s="48"/>
    </row>
    <row r="19" spans="1:4" ht="12.75" customHeight="1">
      <c r="A19" s="397"/>
      <c r="B19" s="399"/>
      <c r="C19" s="399"/>
      <c r="D19" s="48"/>
    </row>
    <row r="20" spans="1:4" ht="12.75" customHeight="1">
      <c r="A20" s="405" t="s">
        <v>14</v>
      </c>
      <c r="B20" s="406"/>
      <c r="C20" s="407"/>
      <c r="D20" s="48"/>
    </row>
    <row r="21" spans="1:4" ht="12.75" customHeight="1">
      <c r="A21" s="405"/>
      <c r="B21" s="407"/>
      <c r="C21" s="407"/>
      <c r="D21" s="48"/>
    </row>
    <row r="22" spans="1:4" ht="12">
      <c r="A22" s="57" t="s">
        <v>15</v>
      </c>
      <c r="B22" s="375"/>
      <c r="C22" s="375"/>
      <c r="D22" s="48"/>
    </row>
    <row r="23" spans="1:4" ht="12">
      <c r="A23" s="57" t="s">
        <v>16</v>
      </c>
      <c r="B23" s="386"/>
      <c r="C23" s="386"/>
      <c r="D23" s="48"/>
    </row>
    <row r="24" spans="1:4" ht="12.75" thickBot="1">
      <c r="A24" s="58" t="s">
        <v>17</v>
      </c>
      <c r="B24" s="381" t="s">
        <v>18</v>
      </c>
      <c r="C24" s="381"/>
      <c r="D24" s="48"/>
    </row>
    <row r="25" spans="1:4" ht="6" customHeight="1" thickBot="1">
      <c r="A25" s="389"/>
      <c r="B25" s="389"/>
      <c r="C25" s="389"/>
      <c r="D25" s="48"/>
    </row>
    <row r="26" spans="1:4" ht="15.75" thickBot="1">
      <c r="A26" s="379" t="s">
        <v>19</v>
      </c>
      <c r="B26" s="380"/>
      <c r="C26" s="385"/>
      <c r="D26" s="56"/>
    </row>
    <row r="27" spans="1:4" ht="12.75" thickBot="1">
      <c r="A27" s="387" t="s">
        <v>13</v>
      </c>
      <c r="B27" s="388"/>
      <c r="C27" s="388"/>
      <c r="D27" s="48"/>
    </row>
    <row r="28" spans="1:4" ht="12.75" customHeight="1">
      <c r="A28" s="387"/>
      <c r="B28" s="388"/>
      <c r="C28" s="388"/>
      <c r="D28" s="48"/>
    </row>
    <row r="29" spans="1:4" ht="12.75" customHeight="1">
      <c r="A29" s="390" t="s">
        <v>14</v>
      </c>
      <c r="B29" s="408"/>
      <c r="C29" s="408"/>
      <c r="D29" s="48"/>
    </row>
    <row r="30" spans="1:4" ht="12.75" customHeight="1">
      <c r="A30" s="390"/>
      <c r="B30" s="408"/>
      <c r="C30" s="408"/>
      <c r="D30" s="48"/>
    </row>
    <row r="31" spans="1:4" ht="12">
      <c r="A31" s="60" t="s">
        <v>20</v>
      </c>
      <c r="B31" s="403"/>
      <c r="C31" s="403"/>
      <c r="D31" s="48"/>
    </row>
    <row r="32" spans="1:4" ht="12">
      <c r="A32" s="60" t="s">
        <v>21</v>
      </c>
      <c r="B32" s="404"/>
      <c r="C32" s="404"/>
      <c r="D32" s="48"/>
    </row>
    <row r="33" spans="1:4" ht="12.75" thickBot="1">
      <c r="A33" s="61" t="s">
        <v>16</v>
      </c>
      <c r="B33" s="373"/>
      <c r="C33" s="373"/>
      <c r="D33" s="48"/>
    </row>
    <row r="34" spans="1:4" ht="6" customHeight="1" thickBot="1">
      <c r="A34" s="376"/>
      <c r="B34" s="377"/>
      <c r="C34" s="378"/>
      <c r="D34" s="48"/>
    </row>
    <row r="35" spans="1:3" ht="15.75" thickBot="1">
      <c r="A35" s="379" t="s">
        <v>22</v>
      </c>
      <c r="B35" s="380"/>
      <c r="C35" s="380"/>
    </row>
    <row r="36" spans="1:3" ht="12">
      <c r="A36" s="62" t="s">
        <v>23</v>
      </c>
      <c r="B36" s="374"/>
      <c r="C36" s="374"/>
    </row>
    <row r="37" spans="1:3" ht="12">
      <c r="A37" s="62" t="s">
        <v>24</v>
      </c>
      <c r="B37" s="375"/>
      <c r="C37" s="375"/>
    </row>
    <row r="38" spans="1:3" ht="12">
      <c r="A38" s="62" t="s">
        <v>25</v>
      </c>
      <c r="B38" s="375"/>
      <c r="C38" s="375"/>
    </row>
    <row r="39" spans="1:3" ht="12.75" thickBot="1">
      <c r="A39" s="63" t="s">
        <v>26</v>
      </c>
      <c r="B39" s="381"/>
      <c r="C39" s="381"/>
    </row>
    <row r="40" spans="1:3" ht="7.5" customHeight="1" thickBot="1">
      <c r="A40" s="367"/>
      <c r="B40" s="367"/>
      <c r="C40" s="367"/>
    </row>
    <row r="41" spans="1:3" ht="15.75" thickBot="1">
      <c r="A41" s="379" t="s">
        <v>27</v>
      </c>
      <c r="B41" s="380"/>
      <c r="C41" s="380"/>
    </row>
    <row r="42" spans="1:3" ht="12">
      <c r="A42" s="384" t="s">
        <v>28</v>
      </c>
      <c r="B42" s="384"/>
      <c r="C42" s="384"/>
    </row>
    <row r="43" spans="1:3" ht="12">
      <c r="A43" s="382"/>
      <c r="B43" s="382"/>
      <c r="C43" s="382"/>
    </row>
    <row r="44" spans="1:3" ht="12">
      <c r="A44" s="62" t="s">
        <v>29</v>
      </c>
      <c r="B44" s="64" t="s">
        <v>716</v>
      </c>
      <c r="C44" s="65"/>
    </row>
    <row r="45" spans="1:5" ht="12">
      <c r="A45" s="62" t="s">
        <v>30</v>
      </c>
      <c r="B45" s="383" t="s">
        <v>774</v>
      </c>
      <c r="C45" s="375"/>
      <c r="D45" s="66"/>
      <c r="E45" s="66"/>
    </row>
    <row r="46" spans="1:5" ht="12.75" thickBot="1">
      <c r="A46" s="63" t="s">
        <v>31</v>
      </c>
      <c r="B46" s="381"/>
      <c r="C46" s="381"/>
      <c r="D46" s="66"/>
      <c r="E46" s="66"/>
    </row>
    <row r="47" spans="1:3" ht="6.75" customHeight="1" thickBot="1">
      <c r="A47" s="389"/>
      <c r="B47" s="389"/>
      <c r="C47" s="389"/>
    </row>
    <row r="48" spans="1:3" ht="16.5">
      <c r="A48" s="413" t="s">
        <v>32</v>
      </c>
      <c r="B48" s="414"/>
      <c r="C48" s="415"/>
    </row>
    <row r="49" spans="1:3" ht="12">
      <c r="A49" s="62" t="s">
        <v>33</v>
      </c>
      <c r="B49" s="64" t="s">
        <v>760</v>
      </c>
      <c r="C49" s="65"/>
    </row>
    <row r="50" spans="1:3" ht="12">
      <c r="A50" s="62" t="s">
        <v>34</v>
      </c>
      <c r="B50" s="64" t="s">
        <v>157</v>
      </c>
      <c r="C50" s="65"/>
    </row>
    <row r="51" spans="1:3" ht="12.75" thickBot="1">
      <c r="A51" s="416"/>
      <c r="B51" s="417"/>
      <c r="C51" s="418"/>
    </row>
    <row r="52" spans="1:3" ht="7.5" customHeight="1" thickBot="1">
      <c r="A52" s="389"/>
      <c r="B52" s="389"/>
      <c r="C52" s="389"/>
    </row>
    <row r="53" spans="1:3" ht="15.75" thickBot="1">
      <c r="A53" s="379" t="s">
        <v>35</v>
      </c>
      <c r="B53" s="380"/>
      <c r="C53" s="385"/>
    </row>
    <row r="54" spans="1:4" ht="12">
      <c r="A54" s="419" t="s">
        <v>36</v>
      </c>
      <c r="B54" s="384"/>
      <c r="C54" s="420"/>
      <c r="D54" s="70"/>
    </row>
    <row r="55" spans="1:3" ht="12.75" thickBot="1">
      <c r="A55" s="424"/>
      <c r="B55" s="425"/>
      <c r="C55" s="425"/>
    </row>
    <row r="56" spans="1:3" ht="12">
      <c r="A56" s="425"/>
      <c r="B56" s="425"/>
      <c r="C56" s="425"/>
    </row>
    <row r="57" spans="1:3" ht="12">
      <c r="A57" s="425"/>
      <c r="B57" s="425"/>
      <c r="C57" s="425"/>
    </row>
    <row r="58" spans="1:3" ht="12">
      <c r="A58" s="425"/>
      <c r="B58" s="425"/>
      <c r="C58" s="425"/>
    </row>
    <row r="59" spans="1:3" ht="12">
      <c r="A59" s="425"/>
      <c r="B59" s="425"/>
      <c r="C59" s="425"/>
    </row>
    <row r="60" spans="1:3" ht="12">
      <c r="A60" s="425"/>
      <c r="B60" s="425"/>
      <c r="C60" s="425"/>
    </row>
    <row r="61" spans="1:3" ht="12">
      <c r="A61" s="425"/>
      <c r="B61" s="425"/>
      <c r="C61" s="425"/>
    </row>
    <row r="62" spans="1:3" ht="12">
      <c r="A62" s="425"/>
      <c r="B62" s="425"/>
      <c r="C62" s="425"/>
    </row>
    <row r="63" spans="1:3" ht="12">
      <c r="A63" s="425"/>
      <c r="B63" s="425"/>
      <c r="C63" s="425"/>
    </row>
    <row r="64" spans="1:3" ht="12">
      <c r="A64" s="425"/>
      <c r="B64" s="425"/>
      <c r="C64" s="425"/>
    </row>
    <row r="65" spans="1:3" ht="12">
      <c r="A65" s="425"/>
      <c r="B65" s="425"/>
      <c r="C65" s="425"/>
    </row>
    <row r="66" spans="1:3" ht="12">
      <c r="A66" s="425"/>
      <c r="B66" s="425"/>
      <c r="C66" s="425"/>
    </row>
    <row r="67" spans="1:3" ht="12">
      <c r="A67" s="425"/>
      <c r="B67" s="425"/>
      <c r="C67" s="425"/>
    </row>
    <row r="68" spans="1:3" ht="12">
      <c r="A68" s="425"/>
      <c r="B68" s="425"/>
      <c r="C68" s="425"/>
    </row>
    <row r="69" spans="1:3" ht="12">
      <c r="A69" s="425"/>
      <c r="B69" s="425"/>
      <c r="C69" s="425"/>
    </row>
    <row r="70" spans="1:3" ht="12">
      <c r="A70" s="425"/>
      <c r="B70" s="425"/>
      <c r="C70" s="425"/>
    </row>
    <row r="71" spans="1:3" ht="12">
      <c r="A71" s="425"/>
      <c r="B71" s="425"/>
      <c r="C71" s="425"/>
    </row>
    <row r="72" spans="1:3" ht="12">
      <c r="A72" s="425"/>
      <c r="B72" s="425"/>
      <c r="C72" s="425"/>
    </row>
    <row r="73" spans="1:3" ht="12">
      <c r="A73" s="425"/>
      <c r="B73" s="425"/>
      <c r="C73" s="425"/>
    </row>
    <row r="74" spans="1:3" ht="12">
      <c r="A74" s="425"/>
      <c r="B74" s="425"/>
      <c r="C74" s="425"/>
    </row>
    <row r="75" spans="1:3" ht="12">
      <c r="A75" s="425"/>
      <c r="B75" s="425"/>
      <c r="C75" s="425"/>
    </row>
    <row r="76" spans="1:3" ht="12">
      <c r="A76" s="425"/>
      <c r="B76" s="425"/>
      <c r="C76" s="425"/>
    </row>
    <row r="77" spans="1:3" ht="12">
      <c r="A77" s="425"/>
      <c r="B77" s="425"/>
      <c r="C77" s="425"/>
    </row>
    <row r="78" spans="1:3" ht="12">
      <c r="A78" s="425"/>
      <c r="B78" s="425"/>
      <c r="C78" s="425"/>
    </row>
    <row r="79" spans="1:3" ht="12">
      <c r="A79" s="425"/>
      <c r="B79" s="425"/>
      <c r="C79" s="425"/>
    </row>
    <row r="80" spans="1:3" ht="12">
      <c r="A80" s="425"/>
      <c r="B80" s="425"/>
      <c r="C80" s="425"/>
    </row>
    <row r="81" spans="1:3" ht="12">
      <c r="A81" s="425"/>
      <c r="B81" s="425"/>
      <c r="C81" s="425"/>
    </row>
    <row r="82" spans="1:3" ht="12">
      <c r="A82" s="425"/>
      <c r="B82" s="425"/>
      <c r="C82" s="425"/>
    </row>
    <row r="83" spans="1:3" ht="12">
      <c r="A83" s="425"/>
      <c r="B83" s="425"/>
      <c r="C83" s="425"/>
    </row>
    <row r="84" spans="1:3" ht="12">
      <c r="A84" s="425"/>
      <c r="B84" s="425"/>
      <c r="C84" s="425"/>
    </row>
    <row r="85" spans="1:3" ht="12">
      <c r="A85" s="425"/>
      <c r="B85" s="425"/>
      <c r="C85" s="425"/>
    </row>
    <row r="86" spans="1:3" ht="12">
      <c r="A86" s="425"/>
      <c r="B86" s="425"/>
      <c r="C86" s="425"/>
    </row>
    <row r="87" spans="1:3" ht="12">
      <c r="A87" s="425"/>
      <c r="B87" s="425"/>
      <c r="C87" s="425"/>
    </row>
    <row r="88" spans="1:3" ht="12">
      <c r="A88" s="425"/>
      <c r="B88" s="425"/>
      <c r="C88" s="425"/>
    </row>
    <row r="89" spans="1:3" ht="12">
      <c r="A89" s="425"/>
      <c r="B89" s="425"/>
      <c r="C89" s="425"/>
    </row>
    <row r="90" spans="1:3" ht="12">
      <c r="A90" s="425"/>
      <c r="B90" s="425"/>
      <c r="C90" s="425"/>
    </row>
    <row r="91" spans="1:3" ht="12">
      <c r="A91" s="425"/>
      <c r="B91" s="425"/>
      <c r="C91" s="425"/>
    </row>
    <row r="92" spans="1:3" ht="12">
      <c r="A92" s="425"/>
      <c r="B92" s="425"/>
      <c r="C92" s="425"/>
    </row>
    <row r="93" spans="1:3" ht="12">
      <c r="A93" s="425"/>
      <c r="B93" s="425"/>
      <c r="C93" s="425"/>
    </row>
    <row r="94" spans="1:3" ht="12">
      <c r="A94" s="425"/>
      <c r="B94" s="425"/>
      <c r="C94" s="425"/>
    </row>
    <row r="95" spans="1:3" ht="13.5" customHeight="1">
      <c r="A95" s="425"/>
      <c r="B95" s="425"/>
      <c r="C95" s="425"/>
    </row>
    <row r="96" spans="1:3" ht="12.75" thickBot="1">
      <c r="A96" s="425"/>
      <c r="B96" s="425"/>
      <c r="C96" s="425"/>
    </row>
    <row r="97" spans="1:3" ht="15.75" thickBot="1">
      <c r="A97" s="379" t="s">
        <v>37</v>
      </c>
      <c r="B97" s="380"/>
      <c r="C97" s="385"/>
    </row>
    <row r="98" spans="1:3" ht="12">
      <c r="A98" s="419" t="s">
        <v>38</v>
      </c>
      <c r="B98" s="384"/>
      <c r="C98" s="420"/>
    </row>
    <row r="99" spans="1:3" ht="12">
      <c r="A99" s="370" t="s">
        <v>761</v>
      </c>
      <c r="B99" s="371"/>
      <c r="C99" s="372"/>
    </row>
    <row r="100" spans="1:3" ht="7.5" customHeight="1" thickBot="1">
      <c r="A100" s="421"/>
      <c r="B100" s="422"/>
      <c r="C100" s="423"/>
    </row>
    <row r="101" spans="1:3" ht="12">
      <c r="A101" s="369" t="s">
        <v>39</v>
      </c>
      <c r="B101" s="369"/>
      <c r="C101" s="369"/>
    </row>
    <row r="102" spans="1:3" ht="12">
      <c r="A102" s="71" t="s">
        <v>40</v>
      </c>
      <c r="B102" s="363"/>
      <c r="C102" s="363"/>
    </row>
    <row r="103" spans="1:3" ht="12">
      <c r="A103" s="71" t="s">
        <v>41</v>
      </c>
      <c r="B103" s="363"/>
      <c r="C103" s="363"/>
    </row>
    <row r="104" spans="1:3" ht="12">
      <c r="A104" s="71" t="s">
        <v>16</v>
      </c>
      <c r="B104" s="363"/>
      <c r="C104" s="363"/>
    </row>
    <row r="105" spans="1:3" ht="12">
      <c r="A105" s="71" t="s">
        <v>42</v>
      </c>
      <c r="B105" s="73"/>
      <c r="C105" s="72"/>
    </row>
    <row r="106" spans="1:3" ht="12">
      <c r="A106" s="71" t="s">
        <v>43</v>
      </c>
      <c r="B106" s="363"/>
      <c r="C106" s="363"/>
    </row>
    <row r="107" spans="1:3" ht="12">
      <c r="A107" s="74" t="s">
        <v>44</v>
      </c>
      <c r="B107" s="73" t="s">
        <v>11</v>
      </c>
      <c r="C107" s="75"/>
    </row>
    <row r="108" spans="1:3" ht="12.75" thickBot="1">
      <c r="A108" s="76" t="s">
        <v>45</v>
      </c>
      <c r="B108" s="364"/>
      <c r="C108" s="364"/>
    </row>
    <row r="109" spans="1:3" ht="6.75" customHeight="1" thickBot="1">
      <c r="A109" s="366"/>
      <c r="B109" s="367"/>
      <c r="C109" s="368"/>
    </row>
    <row r="110" spans="1:3" ht="12">
      <c r="A110" s="369" t="s">
        <v>46</v>
      </c>
      <c r="B110" s="369"/>
      <c r="C110" s="369"/>
    </row>
    <row r="111" spans="1:3" ht="12">
      <c r="A111" s="71" t="s">
        <v>40</v>
      </c>
      <c r="B111" s="363"/>
      <c r="C111" s="363"/>
    </row>
    <row r="112" spans="1:3" ht="12">
      <c r="A112" s="71" t="s">
        <v>41</v>
      </c>
      <c r="B112" s="363"/>
      <c r="C112" s="363"/>
    </row>
    <row r="113" spans="1:3" ht="12">
      <c r="A113" s="71" t="s">
        <v>16</v>
      </c>
      <c r="B113" s="363"/>
      <c r="C113" s="363"/>
    </row>
    <row r="114" spans="1:3" ht="12">
      <c r="A114" s="71" t="s">
        <v>43</v>
      </c>
      <c r="B114" s="363"/>
      <c r="C114" s="363"/>
    </row>
    <row r="115" spans="1:3" ht="12">
      <c r="A115" s="74" t="s">
        <v>44</v>
      </c>
      <c r="B115" s="73" t="s">
        <v>11</v>
      </c>
      <c r="C115" s="80"/>
    </row>
    <row r="116" spans="1:3" ht="12.75" thickBot="1">
      <c r="A116" s="76" t="s">
        <v>45</v>
      </c>
      <c r="B116" s="364"/>
      <c r="C116" s="364"/>
    </row>
    <row r="117" spans="1:3" ht="6.75" customHeight="1" thickBot="1">
      <c r="A117" s="366"/>
      <c r="B117" s="367"/>
      <c r="C117" s="368"/>
    </row>
    <row r="118" spans="1:3" ht="12">
      <c r="A118" s="365" t="s">
        <v>47</v>
      </c>
      <c r="B118" s="365"/>
      <c r="C118" s="365"/>
    </row>
    <row r="119" spans="1:3" ht="12">
      <c r="A119" s="74" t="s">
        <v>40</v>
      </c>
      <c r="B119" s="363"/>
      <c r="C119" s="363"/>
    </row>
    <row r="120" spans="1:3" ht="12">
      <c r="A120" s="74" t="s">
        <v>41</v>
      </c>
      <c r="B120" s="363"/>
      <c r="C120" s="363"/>
    </row>
    <row r="121" spans="1:3" ht="12">
      <c r="A121" s="74" t="s">
        <v>16</v>
      </c>
      <c r="B121" s="363"/>
      <c r="C121" s="363"/>
    </row>
    <row r="122" spans="1:3" ht="12">
      <c r="A122" s="74" t="s">
        <v>43</v>
      </c>
      <c r="B122" s="363"/>
      <c r="C122" s="363"/>
    </row>
    <row r="123" spans="1:3" ht="12">
      <c r="A123" s="74" t="s">
        <v>44</v>
      </c>
      <c r="B123" s="73" t="s">
        <v>11</v>
      </c>
      <c r="C123" s="80"/>
    </row>
    <row r="124" spans="1:3" ht="12.75" thickBot="1">
      <c r="A124" s="76" t="s">
        <v>45</v>
      </c>
      <c r="B124" s="364"/>
      <c r="C124" s="364"/>
    </row>
    <row r="125" spans="1:3" ht="6.75" customHeight="1" thickBot="1">
      <c r="A125" s="366"/>
      <c r="B125" s="367"/>
      <c r="C125" s="368"/>
    </row>
    <row r="126" spans="1:3" ht="12">
      <c r="A126" s="365" t="s">
        <v>48</v>
      </c>
      <c r="B126" s="365"/>
      <c r="C126" s="365"/>
    </row>
    <row r="127" spans="1:3" ht="12">
      <c r="A127" s="74" t="s">
        <v>40</v>
      </c>
      <c r="B127" s="363"/>
      <c r="C127" s="363"/>
    </row>
    <row r="128" spans="1:3" ht="12">
      <c r="A128" s="74" t="s">
        <v>41</v>
      </c>
      <c r="B128" s="363"/>
      <c r="C128" s="363"/>
    </row>
    <row r="129" spans="1:3" ht="12">
      <c r="A129" s="74" t="s">
        <v>16</v>
      </c>
      <c r="B129" s="363"/>
      <c r="C129" s="363"/>
    </row>
    <row r="130" spans="1:3" ht="12">
      <c r="A130" s="74" t="s">
        <v>43</v>
      </c>
      <c r="B130" s="363"/>
      <c r="C130" s="363"/>
    </row>
    <row r="131" spans="1:3" ht="12">
      <c r="A131" s="74" t="s">
        <v>44</v>
      </c>
      <c r="B131" s="73" t="s">
        <v>11</v>
      </c>
      <c r="C131" s="80"/>
    </row>
    <row r="132" spans="1:3" ht="12.75" thickBot="1">
      <c r="A132" s="76" t="s">
        <v>45</v>
      </c>
      <c r="B132" s="364"/>
      <c r="C132" s="364"/>
    </row>
    <row r="133" spans="1:3" ht="6.75" customHeight="1" thickBot="1">
      <c r="A133" s="366"/>
      <c r="B133" s="367"/>
      <c r="C133" s="368"/>
    </row>
    <row r="134" spans="1:3" ht="12" outlineLevel="1">
      <c r="A134" s="365" t="s">
        <v>49</v>
      </c>
      <c r="B134" s="365"/>
      <c r="C134" s="365"/>
    </row>
    <row r="135" spans="1:3" ht="12" outlineLevel="1">
      <c r="A135" s="74" t="s">
        <v>40</v>
      </c>
      <c r="B135" s="363"/>
      <c r="C135" s="363"/>
    </row>
    <row r="136" spans="1:3" ht="12" outlineLevel="1">
      <c r="A136" s="74" t="s">
        <v>41</v>
      </c>
      <c r="B136" s="363"/>
      <c r="C136" s="363"/>
    </row>
    <row r="137" spans="1:3" ht="12" outlineLevel="1">
      <c r="A137" s="74" t="s">
        <v>16</v>
      </c>
      <c r="B137" s="363"/>
      <c r="C137" s="363"/>
    </row>
    <row r="138" spans="1:3" ht="12" outlineLevel="1">
      <c r="A138" s="74" t="s">
        <v>43</v>
      </c>
      <c r="B138" s="363"/>
      <c r="C138" s="363"/>
    </row>
    <row r="139" spans="1:3" ht="12" outlineLevel="1">
      <c r="A139" s="74" t="s">
        <v>44</v>
      </c>
      <c r="B139" s="73" t="s">
        <v>11</v>
      </c>
      <c r="C139" s="80"/>
    </row>
    <row r="140" spans="1:3" ht="12.75" outlineLevel="1" thickBot="1">
      <c r="A140" s="76" t="s">
        <v>45</v>
      </c>
      <c r="B140" s="364"/>
      <c r="C140" s="364"/>
    </row>
    <row r="141" spans="1:3" ht="6.75" customHeight="1" thickBot="1">
      <c r="A141" s="366"/>
      <c r="B141" s="367"/>
      <c r="C141" s="368"/>
    </row>
    <row r="142" spans="1:3" ht="12" outlineLevel="1">
      <c r="A142" s="365" t="s">
        <v>50</v>
      </c>
      <c r="B142" s="365"/>
      <c r="C142" s="365"/>
    </row>
    <row r="143" spans="1:3" ht="12" outlineLevel="1">
      <c r="A143" s="74" t="s">
        <v>40</v>
      </c>
      <c r="B143" s="363"/>
      <c r="C143" s="363"/>
    </row>
    <row r="144" spans="1:3" ht="12" outlineLevel="1">
      <c r="A144" s="74" t="s">
        <v>41</v>
      </c>
      <c r="B144" s="363"/>
      <c r="C144" s="363"/>
    </row>
    <row r="145" spans="1:3" ht="12" outlineLevel="1">
      <c r="A145" s="74" t="s">
        <v>16</v>
      </c>
      <c r="B145" s="363"/>
      <c r="C145" s="363"/>
    </row>
    <row r="146" spans="1:3" ht="12" outlineLevel="1">
      <c r="A146" s="74" t="s">
        <v>43</v>
      </c>
      <c r="B146" s="363"/>
      <c r="C146" s="363"/>
    </row>
    <row r="147" spans="1:3" ht="12" outlineLevel="1">
      <c r="A147" s="74" t="s">
        <v>44</v>
      </c>
      <c r="B147" s="73" t="s">
        <v>11</v>
      </c>
      <c r="C147" s="80"/>
    </row>
    <row r="148" spans="1:3" ht="12.75" outlineLevel="1" thickBot="1">
      <c r="A148" s="76" t="s">
        <v>45</v>
      </c>
      <c r="B148" s="364"/>
      <c r="C148" s="364"/>
    </row>
    <row r="149" spans="1:3" ht="6.75" customHeight="1" thickBot="1">
      <c r="A149" s="366"/>
      <c r="B149" s="367"/>
      <c r="C149" s="368"/>
    </row>
    <row r="150" spans="1:3" ht="12" outlineLevel="1">
      <c r="A150" s="365" t="s">
        <v>51</v>
      </c>
      <c r="B150" s="365"/>
      <c r="C150" s="365"/>
    </row>
    <row r="151" spans="1:3" ht="12" outlineLevel="1">
      <c r="A151" s="74" t="s">
        <v>40</v>
      </c>
      <c r="B151" s="363"/>
      <c r="C151" s="363"/>
    </row>
    <row r="152" spans="1:3" ht="12" outlineLevel="1">
      <c r="A152" s="74" t="s">
        <v>41</v>
      </c>
      <c r="B152" s="363"/>
      <c r="C152" s="363"/>
    </row>
    <row r="153" spans="1:3" ht="12" outlineLevel="1">
      <c r="A153" s="74" t="s">
        <v>16</v>
      </c>
      <c r="B153" s="363"/>
      <c r="C153" s="363"/>
    </row>
    <row r="154" spans="1:3" ht="12" outlineLevel="1">
      <c r="A154" s="74" t="s">
        <v>43</v>
      </c>
      <c r="B154" s="363"/>
      <c r="C154" s="363"/>
    </row>
    <row r="155" spans="1:3" ht="12" outlineLevel="1">
      <c r="A155" s="74" t="s">
        <v>44</v>
      </c>
      <c r="B155" s="73" t="s">
        <v>11</v>
      </c>
      <c r="C155" s="81"/>
    </row>
    <row r="156" spans="1:3" ht="12.75" outlineLevel="1" thickBot="1">
      <c r="A156" s="76" t="s">
        <v>45</v>
      </c>
      <c r="B156" s="364"/>
      <c r="C156" s="364"/>
    </row>
    <row r="157" spans="1:3" ht="6.75" customHeight="1" thickBot="1">
      <c r="A157" s="366"/>
      <c r="B157" s="367"/>
      <c r="C157" s="368"/>
    </row>
    <row r="158" spans="1:3" ht="12" outlineLevel="1">
      <c r="A158" s="365" t="s">
        <v>52</v>
      </c>
      <c r="B158" s="365"/>
      <c r="C158" s="365"/>
    </row>
    <row r="159" spans="1:3" ht="12" outlineLevel="1">
      <c r="A159" s="74" t="s">
        <v>40</v>
      </c>
      <c r="B159" s="363"/>
      <c r="C159" s="363"/>
    </row>
    <row r="160" spans="1:3" ht="12" outlineLevel="1">
      <c r="A160" s="74" t="s">
        <v>41</v>
      </c>
      <c r="B160" s="363"/>
      <c r="C160" s="363"/>
    </row>
    <row r="161" spans="1:3" ht="12" outlineLevel="1">
      <c r="A161" s="74" t="s">
        <v>16</v>
      </c>
      <c r="B161" s="363"/>
      <c r="C161" s="363"/>
    </row>
    <row r="162" spans="1:3" ht="12" outlineLevel="1">
      <c r="A162" s="74" t="s">
        <v>43</v>
      </c>
      <c r="B162" s="363"/>
      <c r="C162" s="363"/>
    </row>
    <row r="163" spans="1:3" ht="12" outlineLevel="1">
      <c r="A163" s="74" t="s">
        <v>44</v>
      </c>
      <c r="B163" s="73" t="s">
        <v>11</v>
      </c>
      <c r="C163" s="81"/>
    </row>
    <row r="164" spans="1:3" ht="12.75" outlineLevel="1" thickBot="1">
      <c r="A164" s="76" t="s">
        <v>45</v>
      </c>
      <c r="B164" s="364"/>
      <c r="C164" s="364"/>
    </row>
    <row r="165" spans="1:3" ht="6.75" customHeight="1" thickBot="1">
      <c r="A165" s="366"/>
      <c r="B165" s="367"/>
      <c r="C165" s="368"/>
    </row>
    <row r="166" spans="1:3" ht="12" outlineLevel="1">
      <c r="A166" s="369" t="s">
        <v>53</v>
      </c>
      <c r="B166" s="369"/>
      <c r="C166" s="369"/>
    </row>
    <row r="167" spans="1:3" ht="12" outlineLevel="1">
      <c r="A167" s="71" t="s">
        <v>40</v>
      </c>
      <c r="B167" s="363"/>
      <c r="C167" s="363"/>
    </row>
    <row r="168" spans="1:3" ht="12" outlineLevel="1">
      <c r="A168" s="71" t="s">
        <v>41</v>
      </c>
      <c r="B168" s="363"/>
      <c r="C168" s="363"/>
    </row>
    <row r="169" spans="1:3" ht="12" outlineLevel="1">
      <c r="A169" s="71" t="s">
        <v>16</v>
      </c>
      <c r="B169" s="363"/>
      <c r="C169" s="363"/>
    </row>
    <row r="170" spans="1:3" ht="12" outlineLevel="1">
      <c r="A170" s="71" t="s">
        <v>43</v>
      </c>
      <c r="B170" s="363"/>
      <c r="C170" s="363"/>
    </row>
    <row r="171" spans="1:3" ht="12" outlineLevel="1">
      <c r="A171" s="74" t="s">
        <v>44</v>
      </c>
      <c r="B171" s="73" t="s">
        <v>11</v>
      </c>
      <c r="C171" s="80"/>
    </row>
    <row r="172" spans="1:3" ht="12.75" outlineLevel="1" thickBot="1">
      <c r="A172" s="76" t="s">
        <v>45</v>
      </c>
      <c r="B172" s="364"/>
      <c r="C172" s="364"/>
    </row>
    <row r="173" spans="1:3" ht="6.75" customHeight="1" thickBot="1">
      <c r="A173" s="366"/>
      <c r="B173" s="367"/>
      <c r="C173" s="368"/>
    </row>
    <row r="174" spans="1:3" ht="12" outlineLevel="1">
      <c r="A174" s="365" t="s">
        <v>54</v>
      </c>
      <c r="B174" s="365"/>
      <c r="C174" s="365"/>
    </row>
    <row r="175" spans="1:3" ht="12" outlineLevel="1">
      <c r="A175" s="74" t="s">
        <v>40</v>
      </c>
      <c r="B175" s="363"/>
      <c r="C175" s="363"/>
    </row>
    <row r="176" spans="1:3" ht="12" outlineLevel="1">
      <c r="A176" s="74" t="s">
        <v>41</v>
      </c>
      <c r="B176" s="363"/>
      <c r="C176" s="363"/>
    </row>
    <row r="177" spans="1:3" ht="12" outlineLevel="1">
      <c r="A177" s="74" t="s">
        <v>16</v>
      </c>
      <c r="B177" s="363"/>
      <c r="C177" s="363"/>
    </row>
    <row r="178" spans="1:3" ht="12" outlineLevel="1">
      <c r="A178" s="74" t="s">
        <v>43</v>
      </c>
      <c r="B178" s="363"/>
      <c r="C178" s="363"/>
    </row>
    <row r="179" spans="1:3" ht="12" outlineLevel="1">
      <c r="A179" s="74" t="s">
        <v>44</v>
      </c>
      <c r="B179" s="73" t="s">
        <v>11</v>
      </c>
      <c r="C179" s="81"/>
    </row>
    <row r="180" spans="1:3" ht="12.75" outlineLevel="1" thickBot="1">
      <c r="A180" s="76" t="s">
        <v>45</v>
      </c>
      <c r="B180" s="364"/>
      <c r="C180" s="364"/>
    </row>
    <row r="181" spans="1:3" ht="6.75" customHeight="1" thickBot="1">
      <c r="A181" s="366"/>
      <c r="B181" s="367"/>
      <c r="C181" s="368"/>
    </row>
    <row r="182" spans="1:3" ht="12" outlineLevel="1">
      <c r="A182" s="369" t="s">
        <v>55</v>
      </c>
      <c r="B182" s="369"/>
      <c r="C182" s="369"/>
    </row>
    <row r="183" spans="1:3" ht="12" outlineLevel="1">
      <c r="A183" s="71" t="s">
        <v>40</v>
      </c>
      <c r="B183" s="363"/>
      <c r="C183" s="363"/>
    </row>
    <row r="184" spans="1:3" ht="12" outlineLevel="1">
      <c r="A184" s="71" t="s">
        <v>41</v>
      </c>
      <c r="B184" s="363"/>
      <c r="C184" s="363"/>
    </row>
    <row r="185" spans="1:3" ht="12" outlineLevel="1">
      <c r="A185" s="71" t="s">
        <v>16</v>
      </c>
      <c r="B185" s="363"/>
      <c r="C185" s="363"/>
    </row>
    <row r="186" spans="1:3" ht="12" outlineLevel="1">
      <c r="A186" s="71" t="s">
        <v>43</v>
      </c>
      <c r="B186" s="363"/>
      <c r="C186" s="363"/>
    </row>
    <row r="187" spans="1:3" ht="12" outlineLevel="1">
      <c r="A187" s="74" t="s">
        <v>44</v>
      </c>
      <c r="B187" s="73" t="s">
        <v>11</v>
      </c>
      <c r="C187" s="80"/>
    </row>
    <row r="188" spans="1:3" ht="12.75" outlineLevel="1" thickBot="1">
      <c r="A188" s="76" t="s">
        <v>45</v>
      </c>
      <c r="B188" s="364"/>
      <c r="C188" s="364"/>
    </row>
    <row r="189" spans="1:3" ht="6.75" customHeight="1" thickBot="1">
      <c r="A189" s="366"/>
      <c r="B189" s="367"/>
      <c r="C189" s="368"/>
    </row>
    <row r="190" spans="1:3" ht="12" outlineLevel="1">
      <c r="A190" s="369" t="s">
        <v>56</v>
      </c>
      <c r="B190" s="369"/>
      <c r="C190" s="369"/>
    </row>
    <row r="191" spans="1:3" ht="12" outlineLevel="1">
      <c r="A191" s="71" t="s">
        <v>40</v>
      </c>
      <c r="B191" s="363"/>
      <c r="C191" s="363"/>
    </row>
    <row r="192" spans="1:3" ht="12" outlineLevel="1">
      <c r="A192" s="71" t="s">
        <v>41</v>
      </c>
      <c r="B192" s="363"/>
      <c r="C192" s="363"/>
    </row>
    <row r="193" spans="1:3" ht="12" outlineLevel="1">
      <c r="A193" s="71" t="s">
        <v>16</v>
      </c>
      <c r="B193" s="363"/>
      <c r="C193" s="363"/>
    </row>
    <row r="194" spans="1:3" ht="12" outlineLevel="1">
      <c r="A194" s="71" t="s">
        <v>43</v>
      </c>
      <c r="B194" s="363"/>
      <c r="C194" s="363"/>
    </row>
    <row r="195" spans="1:3" ht="12" outlineLevel="1">
      <c r="A195" s="74" t="s">
        <v>44</v>
      </c>
      <c r="B195" s="73" t="s">
        <v>11</v>
      </c>
      <c r="C195" s="80"/>
    </row>
    <row r="196" spans="1:3" ht="12.75" outlineLevel="1" thickBot="1">
      <c r="A196" s="76" t="s">
        <v>45</v>
      </c>
      <c r="B196" s="364"/>
      <c r="C196" s="364"/>
    </row>
    <row r="197" spans="1:3" ht="6.75" customHeight="1" thickBot="1">
      <c r="A197" s="366"/>
      <c r="B197" s="367"/>
      <c r="C197" s="368"/>
    </row>
    <row r="198" spans="1:3" ht="12" outlineLevel="1">
      <c r="A198" s="369" t="s">
        <v>57</v>
      </c>
      <c r="B198" s="369"/>
      <c r="C198" s="369"/>
    </row>
    <row r="199" spans="1:3" ht="12" outlineLevel="1">
      <c r="A199" s="71" t="s">
        <v>40</v>
      </c>
      <c r="B199" s="363"/>
      <c r="C199" s="363"/>
    </row>
    <row r="200" spans="1:3" ht="12" outlineLevel="1">
      <c r="A200" s="71" t="s">
        <v>41</v>
      </c>
      <c r="B200" s="363"/>
      <c r="C200" s="363"/>
    </row>
    <row r="201" spans="1:3" ht="12" outlineLevel="1">
      <c r="A201" s="71" t="s">
        <v>16</v>
      </c>
      <c r="B201" s="363"/>
      <c r="C201" s="363"/>
    </row>
    <row r="202" spans="1:3" ht="12" outlineLevel="1">
      <c r="A202" s="71" t="s">
        <v>43</v>
      </c>
      <c r="B202" s="363"/>
      <c r="C202" s="363"/>
    </row>
    <row r="203" spans="1:3" ht="12" outlineLevel="1">
      <c r="A203" s="74" t="s">
        <v>44</v>
      </c>
      <c r="B203" s="73" t="s">
        <v>11</v>
      </c>
      <c r="C203" s="80"/>
    </row>
    <row r="204" spans="1:3" ht="12.75" outlineLevel="1" thickBot="1">
      <c r="A204" s="76" t="s">
        <v>45</v>
      </c>
      <c r="B204" s="364"/>
      <c r="C204" s="364"/>
    </row>
    <row r="205" spans="1:3" ht="6.75" customHeight="1" thickBot="1">
      <c r="A205" s="366"/>
      <c r="B205" s="367"/>
      <c r="C205" s="368"/>
    </row>
    <row r="206" spans="1:3" ht="12" outlineLevel="1">
      <c r="A206" s="369" t="s">
        <v>58</v>
      </c>
      <c r="B206" s="369"/>
      <c r="C206" s="369"/>
    </row>
    <row r="207" spans="1:3" ht="12" outlineLevel="1">
      <c r="A207" s="71" t="s">
        <v>40</v>
      </c>
      <c r="B207" s="363"/>
      <c r="C207" s="363"/>
    </row>
    <row r="208" spans="1:3" ht="12" outlineLevel="1">
      <c r="A208" s="71" t="s">
        <v>41</v>
      </c>
      <c r="B208" s="363"/>
      <c r="C208" s="363"/>
    </row>
    <row r="209" spans="1:3" ht="12" outlineLevel="1">
      <c r="A209" s="71" t="s">
        <v>16</v>
      </c>
      <c r="B209" s="363"/>
      <c r="C209" s="363"/>
    </row>
    <row r="210" spans="1:3" ht="12" outlineLevel="1">
      <c r="A210" s="71" t="s">
        <v>43</v>
      </c>
      <c r="B210" s="363"/>
      <c r="C210" s="363"/>
    </row>
    <row r="211" spans="1:3" ht="12" outlineLevel="1">
      <c r="A211" s="74" t="s">
        <v>44</v>
      </c>
      <c r="B211" s="73" t="s">
        <v>11</v>
      </c>
      <c r="C211" s="80"/>
    </row>
    <row r="212" spans="1:3" ht="12.75" outlineLevel="1" thickBot="1">
      <c r="A212" s="76" t="s">
        <v>45</v>
      </c>
      <c r="B212" s="364"/>
      <c r="C212" s="364"/>
    </row>
    <row r="213" spans="1:3" ht="6.75" customHeight="1" thickBot="1">
      <c r="A213" s="366"/>
      <c r="B213" s="367"/>
      <c r="C213" s="368"/>
    </row>
    <row r="214" spans="1:3" ht="12" outlineLevel="1">
      <c r="A214" s="369" t="s">
        <v>59</v>
      </c>
      <c r="B214" s="369"/>
      <c r="C214" s="369"/>
    </row>
    <row r="215" spans="1:3" ht="12" outlineLevel="1">
      <c r="A215" s="71" t="s">
        <v>40</v>
      </c>
      <c r="B215" s="363"/>
      <c r="C215" s="363"/>
    </row>
    <row r="216" spans="1:3" ht="12" outlineLevel="1">
      <c r="A216" s="71" t="s">
        <v>41</v>
      </c>
      <c r="B216" s="363"/>
      <c r="C216" s="363"/>
    </row>
    <row r="217" spans="1:3" ht="12" outlineLevel="1">
      <c r="A217" s="71" t="s">
        <v>16</v>
      </c>
      <c r="B217" s="363"/>
      <c r="C217" s="363"/>
    </row>
    <row r="218" spans="1:3" ht="12" outlineLevel="1">
      <c r="A218" s="71" t="s">
        <v>43</v>
      </c>
      <c r="B218" s="363"/>
      <c r="C218" s="363"/>
    </row>
    <row r="219" spans="1:3" ht="12" outlineLevel="1">
      <c r="A219" s="74" t="s">
        <v>44</v>
      </c>
      <c r="B219" s="73" t="s">
        <v>11</v>
      </c>
      <c r="C219" s="80"/>
    </row>
    <row r="220" spans="1:3" ht="12.75" outlineLevel="1" thickBot="1">
      <c r="A220" s="76" t="s">
        <v>45</v>
      </c>
      <c r="B220" s="364"/>
      <c r="C220" s="364"/>
    </row>
    <row r="221" spans="1:3" ht="6.75" customHeight="1" thickBot="1">
      <c r="A221" s="366"/>
      <c r="B221" s="367"/>
      <c r="C221" s="368"/>
    </row>
    <row r="222" spans="1:3" ht="12" outlineLevel="1">
      <c r="A222" s="369" t="s">
        <v>60</v>
      </c>
      <c r="B222" s="369"/>
      <c r="C222" s="369"/>
    </row>
    <row r="223" spans="1:3" ht="12" outlineLevel="1">
      <c r="A223" s="71" t="s">
        <v>40</v>
      </c>
      <c r="B223" s="363"/>
      <c r="C223" s="363"/>
    </row>
    <row r="224" spans="1:3" ht="12" outlineLevel="1">
      <c r="A224" s="71" t="s">
        <v>41</v>
      </c>
      <c r="B224" s="363"/>
      <c r="C224" s="363"/>
    </row>
    <row r="225" spans="1:3" ht="12" outlineLevel="1">
      <c r="A225" s="71" t="s">
        <v>16</v>
      </c>
      <c r="B225" s="363"/>
      <c r="C225" s="363"/>
    </row>
    <row r="226" spans="1:3" ht="12" outlineLevel="1">
      <c r="A226" s="71" t="s">
        <v>43</v>
      </c>
      <c r="B226" s="363"/>
      <c r="C226" s="363"/>
    </row>
    <row r="227" spans="1:3" ht="12" outlineLevel="1">
      <c r="A227" s="74" t="s">
        <v>44</v>
      </c>
      <c r="B227" s="73" t="s">
        <v>11</v>
      </c>
      <c r="C227" s="80"/>
    </row>
    <row r="228" spans="1:3" ht="12.75" outlineLevel="1" thickBot="1">
      <c r="A228" s="76" t="s">
        <v>45</v>
      </c>
      <c r="B228" s="364"/>
      <c r="C228" s="364"/>
    </row>
    <row r="229" spans="1:3" ht="6.75" customHeight="1" thickBot="1">
      <c r="A229" s="366"/>
      <c r="B229" s="367"/>
      <c r="C229" s="368"/>
    </row>
    <row r="230" spans="1:3" ht="12" outlineLevel="1">
      <c r="A230" s="369" t="s">
        <v>61</v>
      </c>
      <c r="B230" s="369"/>
      <c r="C230" s="369"/>
    </row>
    <row r="231" spans="1:3" ht="12" outlineLevel="1">
      <c r="A231" s="71" t="s">
        <v>40</v>
      </c>
      <c r="B231" s="363"/>
      <c r="C231" s="363"/>
    </row>
    <row r="232" spans="1:3" ht="12" outlineLevel="1">
      <c r="A232" s="71" t="s">
        <v>41</v>
      </c>
      <c r="B232" s="363"/>
      <c r="C232" s="363"/>
    </row>
    <row r="233" spans="1:3" ht="12" outlineLevel="1">
      <c r="A233" s="71" t="s">
        <v>16</v>
      </c>
      <c r="B233" s="363"/>
      <c r="C233" s="363"/>
    </row>
    <row r="234" spans="1:3" ht="12" outlineLevel="1">
      <c r="A234" s="71" t="s">
        <v>43</v>
      </c>
      <c r="B234" s="363"/>
      <c r="C234" s="363"/>
    </row>
    <row r="235" spans="1:3" ht="12" outlineLevel="1">
      <c r="A235" s="74" t="s">
        <v>44</v>
      </c>
      <c r="B235" s="73" t="s">
        <v>11</v>
      </c>
      <c r="C235" s="80"/>
    </row>
    <row r="236" spans="1:3" ht="12.75" outlineLevel="1" thickBot="1">
      <c r="A236" s="76" t="s">
        <v>45</v>
      </c>
      <c r="B236" s="364"/>
      <c r="C236" s="364"/>
    </row>
    <row r="237" spans="1:3" ht="6.75" customHeight="1" thickBot="1">
      <c r="A237" s="366"/>
      <c r="B237" s="367"/>
      <c r="C237" s="368"/>
    </row>
    <row r="238" spans="1:3" ht="12" outlineLevel="1">
      <c r="A238" s="369" t="s">
        <v>62</v>
      </c>
      <c r="B238" s="369"/>
      <c r="C238" s="369"/>
    </row>
    <row r="239" spans="1:3" ht="12" outlineLevel="1">
      <c r="A239" s="71" t="s">
        <v>40</v>
      </c>
      <c r="B239" s="363"/>
      <c r="C239" s="363"/>
    </row>
    <row r="240" spans="1:3" ht="12" outlineLevel="1">
      <c r="A240" s="71" t="s">
        <v>41</v>
      </c>
      <c r="B240" s="363"/>
      <c r="C240" s="363"/>
    </row>
    <row r="241" spans="1:3" ht="12" outlineLevel="1">
      <c r="A241" s="71" t="s">
        <v>16</v>
      </c>
      <c r="B241" s="363"/>
      <c r="C241" s="363"/>
    </row>
    <row r="242" spans="1:3" ht="12" outlineLevel="1">
      <c r="A242" s="71" t="s">
        <v>43</v>
      </c>
      <c r="B242" s="363"/>
      <c r="C242" s="363"/>
    </row>
    <row r="243" spans="1:3" ht="12" outlineLevel="1">
      <c r="A243" s="74" t="s">
        <v>44</v>
      </c>
      <c r="B243" s="73" t="s">
        <v>11</v>
      </c>
      <c r="C243" s="80"/>
    </row>
    <row r="244" spans="1:3" ht="12.75" outlineLevel="1" thickBot="1">
      <c r="A244" s="76" t="s">
        <v>45</v>
      </c>
      <c r="B244" s="364"/>
      <c r="C244" s="364"/>
    </row>
    <row r="245" spans="1:3" ht="6.75" customHeight="1" thickBot="1">
      <c r="A245" s="366"/>
      <c r="B245" s="367"/>
      <c r="C245" s="368"/>
    </row>
    <row r="246" spans="1:3" ht="12" outlineLevel="1">
      <c r="A246" s="369" t="s">
        <v>63</v>
      </c>
      <c r="B246" s="369"/>
      <c r="C246" s="369"/>
    </row>
    <row r="247" spans="1:3" ht="12" outlineLevel="1">
      <c r="A247" s="71" t="s">
        <v>40</v>
      </c>
      <c r="B247" s="363"/>
      <c r="C247" s="363"/>
    </row>
    <row r="248" spans="1:3" ht="12" outlineLevel="1">
      <c r="A248" s="71" t="s">
        <v>41</v>
      </c>
      <c r="B248" s="363"/>
      <c r="C248" s="363"/>
    </row>
    <row r="249" spans="1:3" ht="12" outlineLevel="1">
      <c r="A249" s="71" t="s">
        <v>16</v>
      </c>
      <c r="B249" s="363"/>
      <c r="C249" s="363"/>
    </row>
    <row r="250" spans="1:3" ht="12" outlineLevel="1">
      <c r="A250" s="71" t="s">
        <v>43</v>
      </c>
      <c r="B250" s="363"/>
      <c r="C250" s="363"/>
    </row>
    <row r="251" spans="1:3" ht="12" outlineLevel="1">
      <c r="A251" s="74" t="s">
        <v>44</v>
      </c>
      <c r="B251" s="73" t="s">
        <v>11</v>
      </c>
      <c r="C251" s="80"/>
    </row>
    <row r="252" spans="1:3" ht="12.75" outlineLevel="1" thickBot="1">
      <c r="A252" s="76" t="s">
        <v>45</v>
      </c>
      <c r="B252" s="364"/>
      <c r="C252" s="364"/>
    </row>
    <row r="253" spans="1:3" ht="6.75" customHeight="1" thickBot="1">
      <c r="A253" s="366"/>
      <c r="B253" s="367"/>
      <c r="C253" s="368"/>
    </row>
    <row r="254" spans="1:3" ht="12" outlineLevel="1">
      <c r="A254" s="365" t="s">
        <v>64</v>
      </c>
      <c r="B254" s="365"/>
      <c r="C254" s="365"/>
    </row>
    <row r="255" spans="1:3" ht="12" outlineLevel="1">
      <c r="A255" s="74" t="s">
        <v>40</v>
      </c>
      <c r="B255" s="363"/>
      <c r="C255" s="363"/>
    </row>
    <row r="256" spans="1:3" ht="12" outlineLevel="1">
      <c r="A256" s="74" t="s">
        <v>41</v>
      </c>
      <c r="B256" s="363"/>
      <c r="C256" s="363"/>
    </row>
    <row r="257" spans="1:3" ht="12" outlineLevel="1">
      <c r="A257" s="74" t="s">
        <v>16</v>
      </c>
      <c r="B257" s="363"/>
      <c r="C257" s="363"/>
    </row>
    <row r="258" spans="1:3" ht="12" outlineLevel="1">
      <c r="A258" s="74" t="s">
        <v>43</v>
      </c>
      <c r="B258" s="363"/>
      <c r="C258" s="363"/>
    </row>
    <row r="259" spans="1:3" ht="12" outlineLevel="1">
      <c r="A259" s="74" t="s">
        <v>44</v>
      </c>
      <c r="B259" s="73"/>
      <c r="C259" s="80"/>
    </row>
    <row r="260" spans="1:3" ht="12.75" outlineLevel="1" thickBot="1">
      <c r="A260" s="76" t="s">
        <v>45</v>
      </c>
      <c r="B260" s="364"/>
      <c r="C260" s="364"/>
    </row>
    <row r="261" spans="1:3" ht="6.75" customHeight="1" thickBot="1">
      <c r="A261" s="366"/>
      <c r="B261" s="367"/>
      <c r="C261" s="368"/>
    </row>
    <row r="262" spans="1:3" ht="12" outlineLevel="1">
      <c r="A262" s="365" t="s">
        <v>65</v>
      </c>
      <c r="B262" s="365"/>
      <c r="C262" s="365"/>
    </row>
    <row r="263" spans="1:3" ht="12" outlineLevel="1">
      <c r="A263" s="74" t="s">
        <v>40</v>
      </c>
      <c r="B263" s="363"/>
      <c r="C263" s="363"/>
    </row>
    <row r="264" spans="1:3" ht="12" outlineLevel="1">
      <c r="A264" s="74" t="s">
        <v>41</v>
      </c>
      <c r="B264" s="363"/>
      <c r="C264" s="363"/>
    </row>
    <row r="265" spans="1:3" ht="12" outlineLevel="1">
      <c r="A265" s="74" t="s">
        <v>16</v>
      </c>
      <c r="B265" s="363"/>
      <c r="C265" s="363"/>
    </row>
    <row r="266" spans="1:3" ht="12" outlineLevel="1">
      <c r="A266" s="74" t="s">
        <v>43</v>
      </c>
      <c r="B266" s="363"/>
      <c r="C266" s="363"/>
    </row>
    <row r="267" spans="1:3" ht="12" outlineLevel="1">
      <c r="A267" s="74" t="s">
        <v>44</v>
      </c>
      <c r="B267" s="73" t="s">
        <v>11</v>
      </c>
      <c r="C267" s="80"/>
    </row>
    <row r="268" spans="1:3" ht="12" outlineLevel="1">
      <c r="A268" s="76" t="s">
        <v>45</v>
      </c>
      <c r="B268" s="364"/>
      <c r="C268" s="364"/>
    </row>
  </sheetData>
  <sheetProtection password="DD05" sheet="1" objects="1" scenarios="1"/>
  <mergeCells count="196">
    <mergeCell ref="A54:C54"/>
    <mergeCell ref="B103:C103"/>
    <mergeCell ref="A109:C109"/>
    <mergeCell ref="B104:C104"/>
    <mergeCell ref="B106:C106"/>
    <mergeCell ref="B108:C108"/>
    <mergeCell ref="A97:C97"/>
    <mergeCell ref="A98:C98"/>
    <mergeCell ref="A100:C100"/>
    <mergeCell ref="A55:C96"/>
    <mergeCell ref="A1:C1"/>
    <mergeCell ref="A2:C2"/>
    <mergeCell ref="A4:C4"/>
    <mergeCell ref="A6:C6"/>
    <mergeCell ref="A47:C47"/>
    <mergeCell ref="A48:C48"/>
    <mergeCell ref="B31:C31"/>
    <mergeCell ref="B32:C32"/>
    <mergeCell ref="A20:A21"/>
    <mergeCell ref="B20:C21"/>
    <mergeCell ref="B29:C30"/>
    <mergeCell ref="A26:C26"/>
    <mergeCell ref="A29:A30"/>
    <mergeCell ref="A13:C13"/>
    <mergeCell ref="A15:C15"/>
    <mergeCell ref="A18:A19"/>
    <mergeCell ref="B18:C19"/>
    <mergeCell ref="A8:C8"/>
    <mergeCell ref="A9:C9"/>
    <mergeCell ref="A10:C10"/>
    <mergeCell ref="B12:C12"/>
    <mergeCell ref="A17:C17"/>
    <mergeCell ref="B22:C22"/>
    <mergeCell ref="B23:C23"/>
    <mergeCell ref="B24:C24"/>
    <mergeCell ref="A27:A28"/>
    <mergeCell ref="B27:C28"/>
    <mergeCell ref="A25:C25"/>
    <mergeCell ref="B39:C39"/>
    <mergeCell ref="A43:C43"/>
    <mergeCell ref="B45:C45"/>
    <mergeCell ref="B46:C46"/>
    <mergeCell ref="A42:C42"/>
    <mergeCell ref="A53:C53"/>
    <mergeCell ref="A40:C40"/>
    <mergeCell ref="A41:C41"/>
    <mergeCell ref="A51:C51"/>
    <mergeCell ref="A52:C52"/>
    <mergeCell ref="B33:C33"/>
    <mergeCell ref="B36:C36"/>
    <mergeCell ref="B37:C37"/>
    <mergeCell ref="B38:C38"/>
    <mergeCell ref="A34:C34"/>
    <mergeCell ref="A35:C35"/>
    <mergeCell ref="A99:C99"/>
    <mergeCell ref="A101:C101"/>
    <mergeCell ref="B102:C102"/>
    <mergeCell ref="A117:C117"/>
    <mergeCell ref="B116:C116"/>
    <mergeCell ref="A110:C110"/>
    <mergeCell ref="B128:C128"/>
    <mergeCell ref="B129:C129"/>
    <mergeCell ref="B130:C130"/>
    <mergeCell ref="B119:C119"/>
    <mergeCell ref="B120:C120"/>
    <mergeCell ref="B111:C111"/>
    <mergeCell ref="B112:C112"/>
    <mergeCell ref="B113:C113"/>
    <mergeCell ref="B114:C114"/>
    <mergeCell ref="A118:C118"/>
    <mergeCell ref="B138:C138"/>
    <mergeCell ref="B140:C140"/>
    <mergeCell ref="A142:C142"/>
    <mergeCell ref="A141:C141"/>
    <mergeCell ref="B121:C121"/>
    <mergeCell ref="B122:C122"/>
    <mergeCell ref="B124:C124"/>
    <mergeCell ref="A126:C126"/>
    <mergeCell ref="A125:C125"/>
    <mergeCell ref="B127:C127"/>
    <mergeCell ref="B132:C132"/>
    <mergeCell ref="A134:C134"/>
    <mergeCell ref="B135:C135"/>
    <mergeCell ref="B136:C136"/>
    <mergeCell ref="A133:C133"/>
    <mergeCell ref="B137:C137"/>
    <mergeCell ref="B162:C162"/>
    <mergeCell ref="B143:C143"/>
    <mergeCell ref="B144:C144"/>
    <mergeCell ref="B145:C145"/>
    <mergeCell ref="B146:C146"/>
    <mergeCell ref="B148:C148"/>
    <mergeCell ref="A150:C150"/>
    <mergeCell ref="B151:C151"/>
    <mergeCell ref="B152:C152"/>
    <mergeCell ref="A149:C149"/>
    <mergeCell ref="A174:C174"/>
    <mergeCell ref="A173:C173"/>
    <mergeCell ref="B153:C153"/>
    <mergeCell ref="B154:C154"/>
    <mergeCell ref="B156:C156"/>
    <mergeCell ref="A158:C158"/>
    <mergeCell ref="A157:C157"/>
    <mergeCell ref="B159:C159"/>
    <mergeCell ref="B160:C160"/>
    <mergeCell ref="B161:C161"/>
    <mergeCell ref="B184:C184"/>
    <mergeCell ref="A181:C181"/>
    <mergeCell ref="B164:C164"/>
    <mergeCell ref="A166:C166"/>
    <mergeCell ref="B167:C167"/>
    <mergeCell ref="B168:C168"/>
    <mergeCell ref="A165:C165"/>
    <mergeCell ref="B169:C169"/>
    <mergeCell ref="B170:C170"/>
    <mergeCell ref="B172:C172"/>
    <mergeCell ref="B192:C192"/>
    <mergeCell ref="B193:C193"/>
    <mergeCell ref="B194:C194"/>
    <mergeCell ref="B175:C175"/>
    <mergeCell ref="B176:C176"/>
    <mergeCell ref="B177:C177"/>
    <mergeCell ref="B178:C178"/>
    <mergeCell ref="B180:C180"/>
    <mergeCell ref="A182:C182"/>
    <mergeCell ref="B183:C183"/>
    <mergeCell ref="B202:C202"/>
    <mergeCell ref="B204:C204"/>
    <mergeCell ref="A206:C206"/>
    <mergeCell ref="A205:C205"/>
    <mergeCell ref="B185:C185"/>
    <mergeCell ref="B186:C186"/>
    <mergeCell ref="B188:C188"/>
    <mergeCell ref="A190:C190"/>
    <mergeCell ref="A189:C189"/>
    <mergeCell ref="B191:C191"/>
    <mergeCell ref="B196:C196"/>
    <mergeCell ref="A198:C198"/>
    <mergeCell ref="B199:C199"/>
    <mergeCell ref="B200:C200"/>
    <mergeCell ref="A197:C197"/>
    <mergeCell ref="B201:C201"/>
    <mergeCell ref="B226:C226"/>
    <mergeCell ref="B207:C207"/>
    <mergeCell ref="B208:C208"/>
    <mergeCell ref="B209:C209"/>
    <mergeCell ref="B210:C210"/>
    <mergeCell ref="B212:C212"/>
    <mergeCell ref="A214:C214"/>
    <mergeCell ref="B215:C215"/>
    <mergeCell ref="B216:C216"/>
    <mergeCell ref="A213:C213"/>
    <mergeCell ref="A238:C238"/>
    <mergeCell ref="A237:C237"/>
    <mergeCell ref="B217:C217"/>
    <mergeCell ref="B218:C218"/>
    <mergeCell ref="B220:C220"/>
    <mergeCell ref="A222:C222"/>
    <mergeCell ref="A221:C221"/>
    <mergeCell ref="B223:C223"/>
    <mergeCell ref="B224:C224"/>
    <mergeCell ref="B225:C225"/>
    <mergeCell ref="B248:C248"/>
    <mergeCell ref="A245:C245"/>
    <mergeCell ref="B228:C228"/>
    <mergeCell ref="A230:C230"/>
    <mergeCell ref="B231:C231"/>
    <mergeCell ref="B232:C232"/>
    <mergeCell ref="A229:C229"/>
    <mergeCell ref="B233:C233"/>
    <mergeCell ref="B234:C234"/>
    <mergeCell ref="B236:C236"/>
    <mergeCell ref="B256:C256"/>
    <mergeCell ref="B257:C257"/>
    <mergeCell ref="B258:C258"/>
    <mergeCell ref="B239:C239"/>
    <mergeCell ref="B240:C240"/>
    <mergeCell ref="B241:C241"/>
    <mergeCell ref="B242:C242"/>
    <mergeCell ref="B244:C244"/>
    <mergeCell ref="A246:C246"/>
    <mergeCell ref="B247:C247"/>
    <mergeCell ref="B249:C249"/>
    <mergeCell ref="B250:C250"/>
    <mergeCell ref="B252:C252"/>
    <mergeCell ref="A254:C254"/>
    <mergeCell ref="A253:C253"/>
    <mergeCell ref="B255:C255"/>
    <mergeCell ref="B265:C265"/>
    <mergeCell ref="B266:C266"/>
    <mergeCell ref="B268:C268"/>
    <mergeCell ref="B260:C260"/>
    <mergeCell ref="A262:C262"/>
    <mergeCell ref="B263:C263"/>
    <mergeCell ref="B264:C264"/>
    <mergeCell ref="A261:C261"/>
  </mergeCells>
  <conditionalFormatting sqref="B14 B44 B49:B50 B107 B115 B123 B131 B139 B147 B155 B163 B171 B179 B187 B195 B203 B211 B219 B227 B235 B243 B251 B259 B267">
    <cfRule type="cellIs" priority="1" dxfId="0" operator="equal" stopIfTrue="1">
      <formula>"Sélectionner …"</formula>
    </cfRule>
  </conditionalFormatting>
  <conditionalFormatting sqref="B12">
    <cfRule type="cellIs" priority="2" dxfId="0" operator="equal" stopIfTrue="1">
      <formula>""""""</formula>
    </cfRule>
  </conditionalFormatting>
  <dataValidations count="5">
    <dataValidation type="list" allowBlank="1" showErrorMessage="1" sqref="B107 B115 B123 B131 B139 B147 B155 B163 B171 B179 B187 B195 B203 B211 B219 B227 B235 B243 B251 B259 B267">
      <formula1>TypeCompetences</formula1>
      <formula2>0</formula2>
    </dataValidation>
    <dataValidation type="list" allowBlank="1" showErrorMessage="1" sqref="B44">
      <formula1>TypeLieux</formula1>
      <formula2>0</formula2>
    </dataValidation>
    <dataValidation type="list" allowBlank="1" showErrorMessage="1" sqref="B14">
      <formula1>TypeProjets</formula1>
      <formula2>0</formula2>
    </dataValidation>
    <dataValidation type="list" allowBlank="1" showErrorMessage="1" sqref="B49">
      <formula1>TypeMoteurs</formula1>
      <formula2>0</formula2>
    </dataValidation>
    <dataValidation type="list" allowBlank="1" showErrorMessage="1" sqref="B50">
      <formula1>TypeEmetteurs</formula1>
      <formula2>0</formula2>
    </dataValidation>
  </dataValidations>
  <printOptions gridLines="1"/>
  <pageMargins left="0.7875" right="0.7875" top="0.4722222222222222" bottom="0.4722222222222222" header="0.5118055555555555" footer="0.5118055555555555"/>
  <pageSetup horizontalDpi="300" verticalDpi="300" orientation="portrait" paperSize="9" scale="61"/>
  <rowBreaks count="2" manualBreakCount="2">
    <brk id="96" max="255" man="1"/>
    <brk id="188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6"/>
  <sheetViews>
    <sheetView showGridLines="0" zoomScale="85" zoomScaleNormal="85" zoomScaleSheetLayoutView="85" workbookViewId="0" topLeftCell="A152">
      <selection activeCell="A106" sqref="A106"/>
    </sheetView>
  </sheetViews>
  <sheetFormatPr defaultColWidth="11.57421875" defaultRowHeight="12.75" outlineLevelRow="1"/>
  <cols>
    <col min="1" max="1" width="22.8515625" style="39" customWidth="1"/>
    <col min="2" max="2" width="22.00390625" style="39" customWidth="1"/>
    <col min="3" max="3" width="94.28125" style="39" customWidth="1"/>
    <col min="4" max="16384" width="11.421875" style="39" customWidth="1"/>
  </cols>
  <sheetData>
    <row r="1" spans="1:6" ht="24" customHeight="1">
      <c r="A1" s="409" t="str">
        <f>ANNEE</f>
        <v>2011-2012</v>
      </c>
      <c r="B1" s="409"/>
      <c r="C1" s="409"/>
      <c r="D1" s="82"/>
      <c r="E1" s="82"/>
      <c r="F1" s="82"/>
    </row>
    <row r="2" spans="1:3" ht="18">
      <c r="A2" s="410" t="s">
        <v>66</v>
      </c>
      <c r="B2" s="410"/>
      <c r="C2" s="410"/>
    </row>
    <row r="3" spans="1:3" ht="12">
      <c r="A3" s="431"/>
      <c r="B3" s="431"/>
      <c r="C3" s="431"/>
    </row>
    <row r="4" spans="1:3" ht="15">
      <c r="A4" s="411" t="str">
        <f>"To be returned before "&amp;Source!C32</f>
        <v>To be returned before December 31st 2011</v>
      </c>
      <c r="B4" s="411"/>
      <c r="C4" s="411"/>
    </row>
    <row r="5" spans="1:3" ht="12.75" thickBot="1">
      <c r="A5" s="432"/>
      <c r="B5" s="432"/>
      <c r="C5" s="432"/>
    </row>
    <row r="6" spans="1:3" ht="12">
      <c r="A6" s="412" t="s">
        <v>67</v>
      </c>
      <c r="B6" s="412"/>
      <c r="C6" s="412"/>
    </row>
    <row r="7" spans="1:3" ht="12">
      <c r="A7" s="437"/>
      <c r="B7" s="437"/>
      <c r="C7" s="438"/>
    </row>
    <row r="8" spans="1:3" ht="12">
      <c r="A8" s="400" t="s">
        <v>68</v>
      </c>
      <c r="B8" s="400"/>
      <c r="C8" s="400"/>
    </row>
    <row r="9" spans="1:3" ht="12.75" customHeight="1">
      <c r="A9" s="433" t="s">
        <v>69</v>
      </c>
      <c r="B9" s="433"/>
      <c r="C9" s="433"/>
    </row>
    <row r="10" spans="1:3" ht="12.75" thickBot="1">
      <c r="A10" s="401" t="s">
        <v>70</v>
      </c>
      <c r="B10" s="401"/>
      <c r="C10" s="401"/>
    </row>
    <row r="11" spans="1:3" ht="6.75" customHeight="1" thickBot="1">
      <c r="A11" s="389"/>
      <c r="B11" s="389"/>
      <c r="C11" s="389"/>
    </row>
    <row r="12" spans="1:4" ht="16.5">
      <c r="A12" s="45" t="s">
        <v>71</v>
      </c>
      <c r="B12" s="439"/>
      <c r="C12" s="439"/>
      <c r="D12" s="46"/>
    </row>
    <row r="13" spans="1:4" ht="6.75" customHeight="1">
      <c r="A13" s="391"/>
      <c r="B13" s="392"/>
      <c r="C13" s="393"/>
      <c r="D13" s="46"/>
    </row>
    <row r="14" spans="1:4" ht="16.5">
      <c r="A14" s="50" t="s">
        <v>72</v>
      </c>
      <c r="B14" s="51" t="s">
        <v>73</v>
      </c>
      <c r="C14" s="52"/>
      <c r="D14" s="46"/>
    </row>
    <row r="15" spans="1:4" ht="18" thickBot="1">
      <c r="A15" s="394"/>
      <c r="B15" s="395"/>
      <c r="C15" s="396"/>
      <c r="D15" s="46"/>
    </row>
    <row r="16" spans="1:4" ht="6.75" customHeight="1" thickBot="1">
      <c r="A16" s="440"/>
      <c r="B16" s="440"/>
      <c r="C16" s="440"/>
      <c r="D16" s="46"/>
    </row>
    <row r="17" spans="1:4" ht="15.75" thickBot="1">
      <c r="A17" s="379" t="s">
        <v>74</v>
      </c>
      <c r="B17" s="380"/>
      <c r="C17" s="385"/>
      <c r="D17" s="56"/>
    </row>
    <row r="18" spans="1:4" ht="12.75" customHeight="1" thickBot="1">
      <c r="A18" s="397" t="s">
        <v>75</v>
      </c>
      <c r="B18" s="399"/>
      <c r="C18" s="399"/>
      <c r="D18" s="48"/>
    </row>
    <row r="19" spans="1:4" ht="12.75" customHeight="1">
      <c r="A19" s="397"/>
      <c r="B19" s="399"/>
      <c r="C19" s="399"/>
      <c r="D19" s="48"/>
    </row>
    <row r="20" spans="1:4" ht="12.75" customHeight="1">
      <c r="A20" s="405" t="s">
        <v>76</v>
      </c>
      <c r="B20" s="407" t="s">
        <v>77</v>
      </c>
      <c r="C20" s="407"/>
      <c r="D20" s="48"/>
    </row>
    <row r="21" spans="1:4" ht="12.75" customHeight="1">
      <c r="A21" s="405"/>
      <c r="B21" s="407"/>
      <c r="C21" s="407"/>
      <c r="D21" s="48"/>
    </row>
    <row r="22" spans="1:4" ht="12">
      <c r="A22" s="57" t="s">
        <v>78</v>
      </c>
      <c r="B22" s="375"/>
      <c r="C22" s="375"/>
      <c r="D22" s="48"/>
    </row>
    <row r="23" spans="1:4" ht="12">
      <c r="A23" s="57" t="s">
        <v>16</v>
      </c>
      <c r="B23" s="386"/>
      <c r="C23" s="386"/>
      <c r="D23" s="48"/>
    </row>
    <row r="24" spans="1:4" ht="12.75" thickBot="1">
      <c r="A24" s="58" t="s">
        <v>79</v>
      </c>
      <c r="B24" s="381" t="s">
        <v>18</v>
      </c>
      <c r="C24" s="381"/>
      <c r="D24" s="48"/>
    </row>
    <row r="25" spans="1:4" ht="6" customHeight="1" thickBot="1">
      <c r="A25" s="389"/>
      <c r="B25" s="389"/>
      <c r="C25" s="389"/>
      <c r="D25" s="48"/>
    </row>
    <row r="26" spans="1:4" ht="15.75" thickBot="1">
      <c r="A26" s="379" t="s">
        <v>80</v>
      </c>
      <c r="B26" s="380"/>
      <c r="C26" s="385"/>
      <c r="D26" s="56"/>
    </row>
    <row r="27" spans="1:4" ht="12.75" thickBot="1">
      <c r="A27" s="397" t="s">
        <v>75</v>
      </c>
      <c r="B27" s="399"/>
      <c r="C27" s="399"/>
      <c r="D27" s="48"/>
    </row>
    <row r="28" spans="1:4" ht="12.75" customHeight="1">
      <c r="A28" s="397"/>
      <c r="B28" s="399"/>
      <c r="C28" s="399"/>
      <c r="D28" s="48"/>
    </row>
    <row r="29" spans="1:4" ht="12.75" customHeight="1">
      <c r="A29" s="405" t="s">
        <v>76</v>
      </c>
      <c r="B29" s="407"/>
      <c r="C29" s="407"/>
      <c r="D29" s="48"/>
    </row>
    <row r="30" spans="1:4" ht="12.75" customHeight="1">
      <c r="A30" s="405"/>
      <c r="B30" s="407"/>
      <c r="C30" s="407"/>
      <c r="D30" s="48"/>
    </row>
    <row r="31" spans="1:4" ht="12">
      <c r="A31" s="57" t="s">
        <v>81</v>
      </c>
      <c r="B31" s="375"/>
      <c r="C31" s="375"/>
      <c r="D31" s="48"/>
    </row>
    <row r="32" spans="1:4" ht="12">
      <c r="A32" s="57" t="s">
        <v>82</v>
      </c>
      <c r="B32" s="430"/>
      <c r="C32" s="430"/>
      <c r="D32" s="48"/>
    </row>
    <row r="33" spans="1:4" ht="12.75" thickBot="1">
      <c r="A33" s="58" t="s">
        <v>16</v>
      </c>
      <c r="B33" s="381"/>
      <c r="C33" s="381"/>
      <c r="D33" s="48"/>
    </row>
    <row r="34" spans="1:4" ht="6" customHeight="1" thickBot="1">
      <c r="A34" s="376"/>
      <c r="B34" s="377"/>
      <c r="C34" s="378"/>
      <c r="D34" s="48"/>
    </row>
    <row r="35" spans="1:3" ht="15.75" thickBot="1">
      <c r="A35" s="379" t="s">
        <v>83</v>
      </c>
      <c r="B35" s="380"/>
      <c r="C35" s="380"/>
    </row>
    <row r="36" spans="1:3" ht="12">
      <c r="A36" s="62" t="s">
        <v>23</v>
      </c>
      <c r="B36" s="374"/>
      <c r="C36" s="374"/>
    </row>
    <row r="37" spans="1:3" ht="12">
      <c r="A37" s="62" t="s">
        <v>24</v>
      </c>
      <c r="B37" s="375"/>
      <c r="C37" s="375"/>
    </row>
    <row r="38" spans="1:3" ht="12">
      <c r="A38" s="62" t="s">
        <v>25</v>
      </c>
      <c r="B38" s="375"/>
      <c r="C38" s="375"/>
    </row>
    <row r="39" spans="1:3" ht="12.75" thickBot="1">
      <c r="A39" s="63" t="s">
        <v>26</v>
      </c>
      <c r="B39" s="381"/>
      <c r="C39" s="381"/>
    </row>
    <row r="40" spans="1:3" ht="7.5" customHeight="1" thickBot="1">
      <c r="A40" s="367"/>
      <c r="B40" s="367"/>
      <c r="C40" s="367"/>
    </row>
    <row r="41" spans="1:3" ht="15.75" thickBot="1">
      <c r="A41" s="379" t="s">
        <v>84</v>
      </c>
      <c r="B41" s="380"/>
      <c r="C41" s="380"/>
    </row>
    <row r="42" spans="1:3" ht="12">
      <c r="A42" s="384" t="s">
        <v>85</v>
      </c>
      <c r="B42" s="384"/>
      <c r="C42" s="384"/>
    </row>
    <row r="43" spans="1:3" ht="12">
      <c r="A43" s="382"/>
      <c r="B43" s="382"/>
      <c r="C43" s="382"/>
    </row>
    <row r="44" spans="1:3" ht="12">
      <c r="A44" s="62" t="s">
        <v>86</v>
      </c>
      <c r="B44" s="64" t="s">
        <v>73</v>
      </c>
      <c r="C44" s="83"/>
    </row>
    <row r="45" spans="1:5" ht="12">
      <c r="A45" s="62" t="s">
        <v>87</v>
      </c>
      <c r="B45" s="375"/>
      <c r="C45" s="375"/>
      <c r="D45" s="66"/>
      <c r="E45" s="66"/>
    </row>
    <row r="46" spans="1:5" ht="12.75" thickBot="1">
      <c r="A46" s="63" t="s">
        <v>31</v>
      </c>
      <c r="B46" s="381"/>
      <c r="C46" s="381"/>
      <c r="D46" s="66"/>
      <c r="E46" s="66"/>
    </row>
    <row r="47" spans="1:3" ht="6.75" customHeight="1" thickBot="1">
      <c r="A47" s="429"/>
      <c r="B47" s="429"/>
      <c r="C47" s="429"/>
    </row>
    <row r="48" spans="1:3" ht="16.5">
      <c r="A48" s="413" t="s">
        <v>88</v>
      </c>
      <c r="B48" s="414"/>
      <c r="C48" s="415"/>
    </row>
    <row r="49" spans="1:3" ht="12">
      <c r="A49" s="62" t="s">
        <v>89</v>
      </c>
      <c r="B49" s="64" t="s">
        <v>73</v>
      </c>
      <c r="C49" s="65"/>
    </row>
    <row r="50" spans="1:3" ht="12">
      <c r="A50" s="62" t="s">
        <v>90</v>
      </c>
      <c r="B50" s="64" t="s">
        <v>73</v>
      </c>
      <c r="C50" s="65"/>
    </row>
    <row r="51" spans="1:3" ht="12.75" thickBot="1">
      <c r="A51" s="434"/>
      <c r="B51" s="435"/>
      <c r="C51" s="436"/>
    </row>
    <row r="52" spans="1:3" ht="7.5" customHeight="1" thickBot="1">
      <c r="A52" s="429"/>
      <c r="B52" s="429"/>
      <c r="C52" s="429"/>
    </row>
    <row r="53" spans="1:3" ht="15.75" thickBot="1">
      <c r="A53" s="426" t="s">
        <v>91</v>
      </c>
      <c r="B53" s="427"/>
      <c r="C53" s="428"/>
    </row>
    <row r="54" spans="1:4" ht="12">
      <c r="A54" s="419" t="s">
        <v>92</v>
      </c>
      <c r="B54" s="384"/>
      <c r="C54" s="420"/>
      <c r="D54" s="70"/>
    </row>
    <row r="55" spans="1:3" ht="12.75" thickBot="1">
      <c r="A55" s="425"/>
      <c r="B55" s="425"/>
      <c r="C55" s="425"/>
    </row>
    <row r="56" spans="1:3" ht="12">
      <c r="A56" s="425"/>
      <c r="B56" s="425"/>
      <c r="C56" s="425"/>
    </row>
    <row r="57" spans="1:3" ht="12">
      <c r="A57" s="425"/>
      <c r="B57" s="425"/>
      <c r="C57" s="425"/>
    </row>
    <row r="58" spans="1:3" ht="12">
      <c r="A58" s="425"/>
      <c r="B58" s="425"/>
      <c r="C58" s="425"/>
    </row>
    <row r="59" spans="1:3" ht="12">
      <c r="A59" s="425"/>
      <c r="B59" s="425"/>
      <c r="C59" s="425"/>
    </row>
    <row r="60" spans="1:3" ht="12">
      <c r="A60" s="425"/>
      <c r="B60" s="425"/>
      <c r="C60" s="425"/>
    </row>
    <row r="61" spans="1:3" ht="12">
      <c r="A61" s="425"/>
      <c r="B61" s="425"/>
      <c r="C61" s="425"/>
    </row>
    <row r="62" spans="1:3" ht="12">
      <c r="A62" s="425"/>
      <c r="B62" s="425"/>
      <c r="C62" s="425"/>
    </row>
    <row r="63" spans="1:3" ht="12">
      <c r="A63" s="425"/>
      <c r="B63" s="425"/>
      <c r="C63" s="425"/>
    </row>
    <row r="64" spans="1:3" ht="12">
      <c r="A64" s="425"/>
      <c r="B64" s="425"/>
      <c r="C64" s="425"/>
    </row>
    <row r="65" spans="1:3" ht="12">
      <c r="A65" s="425"/>
      <c r="B65" s="425"/>
      <c r="C65" s="425"/>
    </row>
    <row r="66" spans="1:3" ht="12">
      <c r="A66" s="425"/>
      <c r="B66" s="425"/>
      <c r="C66" s="425"/>
    </row>
    <row r="67" spans="1:3" ht="12">
      <c r="A67" s="425"/>
      <c r="B67" s="425"/>
      <c r="C67" s="425"/>
    </row>
    <row r="68" spans="1:3" ht="12">
      <c r="A68" s="425"/>
      <c r="B68" s="425"/>
      <c r="C68" s="425"/>
    </row>
    <row r="69" spans="1:3" ht="12">
      <c r="A69" s="425"/>
      <c r="B69" s="425"/>
      <c r="C69" s="425"/>
    </row>
    <row r="70" spans="1:3" ht="12">
      <c r="A70" s="425"/>
      <c r="B70" s="425"/>
      <c r="C70" s="425"/>
    </row>
    <row r="71" spans="1:3" ht="12">
      <c r="A71" s="425"/>
      <c r="B71" s="425"/>
      <c r="C71" s="425"/>
    </row>
    <row r="72" spans="1:3" ht="12">
      <c r="A72" s="425"/>
      <c r="B72" s="425"/>
      <c r="C72" s="425"/>
    </row>
    <row r="73" spans="1:3" ht="12">
      <c r="A73" s="425"/>
      <c r="B73" s="425"/>
      <c r="C73" s="425"/>
    </row>
    <row r="74" spans="1:3" ht="12">
      <c r="A74" s="425"/>
      <c r="B74" s="425"/>
      <c r="C74" s="425"/>
    </row>
    <row r="75" spans="1:3" ht="12">
      <c r="A75" s="425"/>
      <c r="B75" s="425"/>
      <c r="C75" s="425"/>
    </row>
    <row r="76" spans="1:3" ht="12">
      <c r="A76" s="425"/>
      <c r="B76" s="425"/>
      <c r="C76" s="425"/>
    </row>
    <row r="77" spans="1:3" ht="12">
      <c r="A77" s="425"/>
      <c r="B77" s="425"/>
      <c r="C77" s="425"/>
    </row>
    <row r="78" spans="1:3" ht="12">
      <c r="A78" s="425"/>
      <c r="B78" s="425"/>
      <c r="C78" s="425"/>
    </row>
    <row r="79" spans="1:3" ht="12">
      <c r="A79" s="425"/>
      <c r="B79" s="425"/>
      <c r="C79" s="425"/>
    </row>
    <row r="80" spans="1:3" ht="12">
      <c r="A80" s="425"/>
      <c r="B80" s="425"/>
      <c r="C80" s="425"/>
    </row>
    <row r="81" spans="1:3" ht="12">
      <c r="A81" s="425"/>
      <c r="B81" s="425"/>
      <c r="C81" s="425"/>
    </row>
    <row r="82" spans="1:3" ht="12">
      <c r="A82" s="425"/>
      <c r="B82" s="425"/>
      <c r="C82" s="425"/>
    </row>
    <row r="83" spans="1:3" ht="12">
      <c r="A83" s="425"/>
      <c r="B83" s="425"/>
      <c r="C83" s="425"/>
    </row>
    <row r="84" spans="1:3" ht="12">
      <c r="A84" s="425"/>
      <c r="B84" s="425"/>
      <c r="C84" s="425"/>
    </row>
    <row r="85" spans="1:3" ht="12">
      <c r="A85" s="425"/>
      <c r="B85" s="425"/>
      <c r="C85" s="425"/>
    </row>
    <row r="86" spans="1:3" ht="12">
      <c r="A86" s="425"/>
      <c r="B86" s="425"/>
      <c r="C86" s="425"/>
    </row>
    <row r="87" spans="1:3" ht="12">
      <c r="A87" s="425"/>
      <c r="B87" s="425"/>
      <c r="C87" s="425"/>
    </row>
    <row r="88" spans="1:3" ht="12">
      <c r="A88" s="425"/>
      <c r="B88" s="425"/>
      <c r="C88" s="425"/>
    </row>
    <row r="89" spans="1:3" ht="12">
      <c r="A89" s="425"/>
      <c r="B89" s="425"/>
      <c r="C89" s="425"/>
    </row>
    <row r="90" spans="1:3" ht="12">
      <c r="A90" s="425"/>
      <c r="B90" s="425"/>
      <c r="C90" s="425"/>
    </row>
    <row r="91" spans="1:3" ht="12">
      <c r="A91" s="425"/>
      <c r="B91" s="425"/>
      <c r="C91" s="425"/>
    </row>
    <row r="92" spans="1:3" ht="12">
      <c r="A92" s="425"/>
      <c r="B92" s="425"/>
      <c r="C92" s="425"/>
    </row>
    <row r="93" spans="1:3" ht="12">
      <c r="A93" s="425"/>
      <c r="B93" s="425"/>
      <c r="C93" s="425"/>
    </row>
    <row r="94" spans="1:3" ht="12">
      <c r="A94" s="425"/>
      <c r="B94" s="425"/>
      <c r="C94" s="425"/>
    </row>
    <row r="95" spans="1:3" ht="13.5" customHeight="1">
      <c r="A95" s="425"/>
      <c r="B95" s="425"/>
      <c r="C95" s="425"/>
    </row>
    <row r="96" spans="1:3" ht="12.75" thickBot="1">
      <c r="A96" s="425"/>
      <c r="B96" s="425"/>
      <c r="C96" s="425"/>
    </row>
    <row r="97" spans="1:3" ht="15.75" thickBot="1">
      <c r="A97" s="379" t="s">
        <v>93</v>
      </c>
      <c r="B97" s="380"/>
      <c r="C97" s="385"/>
    </row>
    <row r="98" spans="1:3" ht="12">
      <c r="A98" s="419" t="s">
        <v>94</v>
      </c>
      <c r="B98" s="384"/>
      <c r="C98" s="420"/>
    </row>
    <row r="99" spans="1:3" ht="7.5" customHeight="1" thickBot="1">
      <c r="A99" s="421"/>
      <c r="B99" s="422"/>
      <c r="C99" s="423"/>
    </row>
    <row r="100" spans="1:3" ht="12">
      <c r="A100" s="369" t="s">
        <v>95</v>
      </c>
      <c r="B100" s="369"/>
      <c r="C100" s="369"/>
    </row>
    <row r="101" spans="1:3" ht="12">
      <c r="A101" s="71" t="s">
        <v>96</v>
      </c>
      <c r="B101" s="363"/>
      <c r="C101" s="363"/>
    </row>
    <row r="102" spans="1:3" ht="12">
      <c r="A102" s="71" t="s">
        <v>41</v>
      </c>
      <c r="B102" s="363"/>
      <c r="C102" s="363"/>
    </row>
    <row r="103" spans="1:3" ht="12">
      <c r="A103" s="71" t="s">
        <v>16</v>
      </c>
      <c r="B103" s="363"/>
      <c r="C103" s="363"/>
    </row>
    <row r="104" spans="1:3" ht="12">
      <c r="A104" s="71" t="s">
        <v>97</v>
      </c>
      <c r="B104" s="363"/>
      <c r="C104" s="363"/>
    </row>
    <row r="105" spans="1:3" ht="12">
      <c r="A105" s="74" t="s">
        <v>98</v>
      </c>
      <c r="B105" s="73" t="s">
        <v>73</v>
      </c>
      <c r="C105" s="80"/>
    </row>
    <row r="106" spans="1:3" ht="12">
      <c r="A106" s="76" t="s">
        <v>99</v>
      </c>
      <c r="B106" s="364"/>
      <c r="C106" s="364"/>
    </row>
    <row r="107" spans="1:3" ht="6.75" customHeight="1">
      <c r="A107" s="77"/>
      <c r="B107" s="78"/>
      <c r="C107" s="79"/>
    </row>
    <row r="108" spans="1:3" ht="12">
      <c r="A108" s="369" t="s">
        <v>100</v>
      </c>
      <c r="B108" s="369"/>
      <c r="C108" s="369"/>
    </row>
    <row r="109" spans="1:3" ht="12">
      <c r="A109" s="71" t="s">
        <v>96</v>
      </c>
      <c r="B109" s="363"/>
      <c r="C109" s="363"/>
    </row>
    <row r="110" spans="1:3" ht="12">
      <c r="A110" s="71" t="s">
        <v>41</v>
      </c>
      <c r="B110" s="363"/>
      <c r="C110" s="363"/>
    </row>
    <row r="111" spans="1:3" ht="12">
      <c r="A111" s="71" t="s">
        <v>16</v>
      </c>
      <c r="B111" s="363"/>
      <c r="C111" s="363"/>
    </row>
    <row r="112" spans="1:3" ht="12">
      <c r="A112" s="71" t="s">
        <v>97</v>
      </c>
      <c r="B112" s="363"/>
      <c r="C112" s="363"/>
    </row>
    <row r="113" spans="1:3" ht="12">
      <c r="A113" s="74" t="s">
        <v>98</v>
      </c>
      <c r="B113" s="73" t="s">
        <v>73</v>
      </c>
      <c r="C113" s="80"/>
    </row>
    <row r="114" spans="1:3" ht="12">
      <c r="A114" s="76" t="s">
        <v>99</v>
      </c>
      <c r="B114" s="364"/>
      <c r="C114" s="364"/>
    </row>
    <row r="115" spans="1:3" ht="6.75" customHeight="1">
      <c r="A115" s="77"/>
      <c r="B115" s="78"/>
      <c r="C115" s="79"/>
    </row>
    <row r="116" spans="1:3" ht="12">
      <c r="A116" s="365" t="s">
        <v>101</v>
      </c>
      <c r="B116" s="365"/>
      <c r="C116" s="365"/>
    </row>
    <row r="117" spans="1:3" ht="12">
      <c r="A117" s="71" t="s">
        <v>96</v>
      </c>
      <c r="B117" s="363"/>
      <c r="C117" s="363"/>
    </row>
    <row r="118" spans="1:3" ht="12">
      <c r="A118" s="71" t="s">
        <v>41</v>
      </c>
      <c r="B118" s="363"/>
      <c r="C118" s="363"/>
    </row>
    <row r="119" spans="1:3" ht="12">
      <c r="A119" s="71" t="s">
        <v>16</v>
      </c>
      <c r="B119" s="363"/>
      <c r="C119" s="363"/>
    </row>
    <row r="120" spans="1:3" ht="12">
      <c r="A120" s="71" t="s">
        <v>97</v>
      </c>
      <c r="B120" s="363"/>
      <c r="C120" s="363"/>
    </row>
    <row r="121" spans="1:3" ht="12">
      <c r="A121" s="74" t="s">
        <v>98</v>
      </c>
      <c r="B121" s="73" t="s">
        <v>73</v>
      </c>
      <c r="C121" s="80"/>
    </row>
    <row r="122" spans="1:3" ht="12">
      <c r="A122" s="76" t="s">
        <v>99</v>
      </c>
      <c r="B122" s="364"/>
      <c r="C122" s="364"/>
    </row>
    <row r="123" spans="1:3" ht="6.75" customHeight="1">
      <c r="A123" s="77"/>
      <c r="B123" s="78"/>
      <c r="C123" s="79"/>
    </row>
    <row r="124" spans="1:3" ht="12">
      <c r="A124" s="365" t="s">
        <v>102</v>
      </c>
      <c r="B124" s="365"/>
      <c r="C124" s="365"/>
    </row>
    <row r="125" spans="1:3" ht="12">
      <c r="A125" s="71" t="s">
        <v>96</v>
      </c>
      <c r="B125" s="363"/>
      <c r="C125" s="363"/>
    </row>
    <row r="126" spans="1:3" ht="12">
      <c r="A126" s="71" t="s">
        <v>41</v>
      </c>
      <c r="B126" s="363"/>
      <c r="C126" s="363"/>
    </row>
    <row r="127" spans="1:3" ht="12">
      <c r="A127" s="71" t="s">
        <v>16</v>
      </c>
      <c r="B127" s="363"/>
      <c r="C127" s="363"/>
    </row>
    <row r="128" spans="1:3" ht="12">
      <c r="A128" s="71" t="s">
        <v>97</v>
      </c>
      <c r="B128" s="363"/>
      <c r="C128" s="363"/>
    </row>
    <row r="129" spans="1:3" ht="12">
      <c r="A129" s="74" t="s">
        <v>98</v>
      </c>
      <c r="B129" s="73" t="s">
        <v>73</v>
      </c>
      <c r="C129" s="80"/>
    </row>
    <row r="130" spans="1:3" ht="12">
      <c r="A130" s="76" t="s">
        <v>99</v>
      </c>
      <c r="B130" s="364"/>
      <c r="C130" s="364"/>
    </row>
    <row r="131" spans="1:3" ht="6.75" customHeight="1">
      <c r="A131" s="77"/>
      <c r="B131" s="78"/>
      <c r="C131" s="79"/>
    </row>
    <row r="132" spans="1:3" ht="12" outlineLevel="1">
      <c r="A132" s="365" t="s">
        <v>103</v>
      </c>
      <c r="B132" s="365"/>
      <c r="C132" s="365"/>
    </row>
    <row r="133" spans="1:3" ht="12" outlineLevel="1">
      <c r="A133" s="71" t="s">
        <v>96</v>
      </c>
      <c r="B133" s="363"/>
      <c r="C133" s="363"/>
    </row>
    <row r="134" spans="1:3" ht="12" outlineLevel="1">
      <c r="A134" s="71" t="s">
        <v>41</v>
      </c>
      <c r="B134" s="363"/>
      <c r="C134" s="363"/>
    </row>
    <row r="135" spans="1:3" ht="12" outlineLevel="1">
      <c r="A135" s="71" t="s">
        <v>16</v>
      </c>
      <c r="B135" s="363"/>
      <c r="C135" s="363"/>
    </row>
    <row r="136" spans="1:3" ht="12" outlineLevel="1">
      <c r="A136" s="71" t="s">
        <v>97</v>
      </c>
      <c r="B136" s="363"/>
      <c r="C136" s="363"/>
    </row>
    <row r="137" spans="1:3" ht="12" outlineLevel="1">
      <c r="A137" s="74" t="s">
        <v>98</v>
      </c>
      <c r="B137" s="73" t="s">
        <v>73</v>
      </c>
      <c r="C137" s="80"/>
    </row>
    <row r="138" spans="1:3" ht="12" outlineLevel="1">
      <c r="A138" s="76" t="s">
        <v>99</v>
      </c>
      <c r="B138" s="364"/>
      <c r="C138" s="364"/>
    </row>
    <row r="139" spans="1:3" ht="6.75" customHeight="1">
      <c r="A139" s="77"/>
      <c r="B139" s="78"/>
      <c r="C139" s="79"/>
    </row>
    <row r="140" spans="1:3" ht="12" outlineLevel="1">
      <c r="A140" s="365" t="s">
        <v>104</v>
      </c>
      <c r="B140" s="365"/>
      <c r="C140" s="365"/>
    </row>
    <row r="141" spans="1:3" ht="12" outlineLevel="1">
      <c r="A141" s="71" t="s">
        <v>96</v>
      </c>
      <c r="B141" s="363"/>
      <c r="C141" s="363"/>
    </row>
    <row r="142" spans="1:3" ht="12" outlineLevel="1">
      <c r="A142" s="71" t="s">
        <v>41</v>
      </c>
      <c r="B142" s="363"/>
      <c r="C142" s="363"/>
    </row>
    <row r="143" spans="1:3" ht="12" outlineLevel="1">
      <c r="A143" s="71" t="s">
        <v>16</v>
      </c>
      <c r="B143" s="363"/>
      <c r="C143" s="363"/>
    </row>
    <row r="144" spans="1:3" ht="12" outlineLevel="1">
      <c r="A144" s="71" t="s">
        <v>97</v>
      </c>
      <c r="B144" s="363"/>
      <c r="C144" s="363"/>
    </row>
    <row r="145" spans="1:3" ht="12" outlineLevel="1">
      <c r="A145" s="74" t="s">
        <v>98</v>
      </c>
      <c r="B145" s="73" t="s">
        <v>73</v>
      </c>
      <c r="C145" s="80"/>
    </row>
    <row r="146" spans="1:3" ht="12" outlineLevel="1">
      <c r="A146" s="76" t="s">
        <v>99</v>
      </c>
      <c r="B146" s="364"/>
      <c r="C146" s="364"/>
    </row>
    <row r="147" spans="1:3" ht="6.75" customHeight="1">
      <c r="A147" s="77"/>
      <c r="B147" s="78"/>
      <c r="C147" s="79"/>
    </row>
    <row r="148" spans="1:3" ht="12" outlineLevel="1">
      <c r="A148" s="365" t="s">
        <v>105</v>
      </c>
      <c r="B148" s="365"/>
      <c r="C148" s="365"/>
    </row>
    <row r="149" spans="1:3" ht="12" outlineLevel="1">
      <c r="A149" s="71" t="s">
        <v>96</v>
      </c>
      <c r="B149" s="363"/>
      <c r="C149" s="363"/>
    </row>
    <row r="150" spans="1:3" ht="12" outlineLevel="1">
      <c r="A150" s="71" t="s">
        <v>41</v>
      </c>
      <c r="B150" s="363"/>
      <c r="C150" s="363"/>
    </row>
    <row r="151" spans="1:3" ht="12" outlineLevel="1">
      <c r="A151" s="71" t="s">
        <v>16</v>
      </c>
      <c r="B151" s="363"/>
      <c r="C151" s="363"/>
    </row>
    <row r="152" spans="1:3" ht="12" outlineLevel="1">
      <c r="A152" s="71" t="s">
        <v>97</v>
      </c>
      <c r="B152" s="363"/>
      <c r="C152" s="363"/>
    </row>
    <row r="153" spans="1:3" ht="12" outlineLevel="1">
      <c r="A153" s="74" t="s">
        <v>98</v>
      </c>
      <c r="B153" s="73" t="s">
        <v>73</v>
      </c>
      <c r="C153" s="81"/>
    </row>
    <row r="154" spans="1:3" ht="12" outlineLevel="1">
      <c r="A154" s="76" t="s">
        <v>99</v>
      </c>
      <c r="B154" s="364"/>
      <c r="C154" s="364"/>
    </row>
    <row r="155" spans="1:3" ht="6.75" customHeight="1">
      <c r="A155" s="77"/>
      <c r="B155" s="78"/>
      <c r="C155" s="79"/>
    </row>
    <row r="156" spans="1:3" ht="12" outlineLevel="1">
      <c r="A156" s="365" t="s">
        <v>106</v>
      </c>
      <c r="B156" s="365"/>
      <c r="C156" s="365"/>
    </row>
    <row r="157" spans="1:3" ht="12" outlineLevel="1">
      <c r="A157" s="71" t="s">
        <v>96</v>
      </c>
      <c r="B157" s="363"/>
      <c r="C157" s="363"/>
    </row>
    <row r="158" spans="1:3" ht="12" outlineLevel="1">
      <c r="A158" s="71" t="s">
        <v>41</v>
      </c>
      <c r="B158" s="363"/>
      <c r="C158" s="363"/>
    </row>
    <row r="159" spans="1:3" ht="12" outlineLevel="1">
      <c r="A159" s="71" t="s">
        <v>16</v>
      </c>
      <c r="B159" s="363"/>
      <c r="C159" s="363"/>
    </row>
    <row r="160" spans="1:3" ht="12" outlineLevel="1">
      <c r="A160" s="71" t="s">
        <v>97</v>
      </c>
      <c r="B160" s="363"/>
      <c r="C160" s="363"/>
    </row>
    <row r="161" spans="1:3" ht="12" outlineLevel="1">
      <c r="A161" s="74" t="s">
        <v>98</v>
      </c>
      <c r="B161" s="73" t="s">
        <v>73</v>
      </c>
      <c r="C161" s="81"/>
    </row>
    <row r="162" spans="1:3" ht="12" outlineLevel="1">
      <c r="A162" s="76" t="s">
        <v>99</v>
      </c>
      <c r="B162" s="364"/>
      <c r="C162" s="364"/>
    </row>
    <row r="163" spans="1:3" ht="6.75" customHeight="1">
      <c r="A163" s="77"/>
      <c r="B163" s="78"/>
      <c r="C163" s="79"/>
    </row>
    <row r="164" spans="1:3" ht="12" outlineLevel="1">
      <c r="A164" s="369" t="s">
        <v>107</v>
      </c>
      <c r="B164" s="369"/>
      <c r="C164" s="369"/>
    </row>
    <row r="165" spans="1:3" ht="12" outlineLevel="1">
      <c r="A165" s="71" t="s">
        <v>96</v>
      </c>
      <c r="B165" s="363"/>
      <c r="C165" s="363"/>
    </row>
    <row r="166" spans="1:3" ht="12" outlineLevel="1">
      <c r="A166" s="71" t="s">
        <v>41</v>
      </c>
      <c r="B166" s="363"/>
      <c r="C166" s="363"/>
    </row>
    <row r="167" spans="1:3" ht="12" outlineLevel="1">
      <c r="A167" s="71" t="s">
        <v>16</v>
      </c>
      <c r="B167" s="363"/>
      <c r="C167" s="363"/>
    </row>
    <row r="168" spans="1:3" ht="12" outlineLevel="1">
      <c r="A168" s="71" t="s">
        <v>97</v>
      </c>
      <c r="B168" s="363"/>
      <c r="C168" s="363"/>
    </row>
    <row r="169" spans="1:3" ht="12" outlineLevel="1">
      <c r="A169" s="74" t="s">
        <v>98</v>
      </c>
      <c r="B169" s="73" t="s">
        <v>73</v>
      </c>
      <c r="C169" s="80"/>
    </row>
    <row r="170" spans="1:3" ht="12" outlineLevel="1">
      <c r="A170" s="76" t="s">
        <v>99</v>
      </c>
      <c r="B170" s="364"/>
      <c r="C170" s="364"/>
    </row>
    <row r="171" spans="1:3" ht="6.75" customHeight="1">
      <c r="A171" s="77"/>
      <c r="B171" s="78"/>
      <c r="C171" s="79"/>
    </row>
    <row r="172" spans="1:3" ht="12" outlineLevel="1">
      <c r="A172" s="365" t="s">
        <v>108</v>
      </c>
      <c r="B172" s="365"/>
      <c r="C172" s="365"/>
    </row>
    <row r="173" spans="1:3" ht="12" outlineLevel="1">
      <c r="A173" s="71" t="s">
        <v>96</v>
      </c>
      <c r="B173" s="363"/>
      <c r="C173" s="363"/>
    </row>
    <row r="174" spans="1:3" ht="12" outlineLevel="1">
      <c r="A174" s="71" t="s">
        <v>41</v>
      </c>
      <c r="B174" s="363"/>
      <c r="C174" s="363"/>
    </row>
    <row r="175" spans="1:3" ht="12" outlineLevel="1">
      <c r="A175" s="71" t="s">
        <v>16</v>
      </c>
      <c r="B175" s="363"/>
      <c r="C175" s="363"/>
    </row>
    <row r="176" spans="1:3" ht="12" outlineLevel="1">
      <c r="A176" s="71" t="s">
        <v>97</v>
      </c>
      <c r="B176" s="363"/>
      <c r="C176" s="363"/>
    </row>
    <row r="177" spans="1:3" ht="12" outlineLevel="1">
      <c r="A177" s="74" t="s">
        <v>98</v>
      </c>
      <c r="B177" s="73" t="s">
        <v>73</v>
      </c>
      <c r="C177" s="81"/>
    </row>
    <row r="178" spans="1:3" ht="12" outlineLevel="1">
      <c r="A178" s="76" t="s">
        <v>99</v>
      </c>
      <c r="B178" s="364"/>
      <c r="C178" s="364"/>
    </row>
    <row r="179" spans="1:3" ht="6.75" customHeight="1">
      <c r="A179" s="77"/>
      <c r="B179" s="78"/>
      <c r="C179" s="79"/>
    </row>
    <row r="180" spans="1:3" ht="12" outlineLevel="1">
      <c r="A180" s="369" t="s">
        <v>109</v>
      </c>
      <c r="B180" s="369"/>
      <c r="C180" s="369"/>
    </row>
    <row r="181" spans="1:3" ht="12" outlineLevel="1">
      <c r="A181" s="71" t="s">
        <v>96</v>
      </c>
      <c r="B181" s="363"/>
      <c r="C181" s="363"/>
    </row>
    <row r="182" spans="1:3" ht="12" outlineLevel="1">
      <c r="A182" s="71" t="s">
        <v>41</v>
      </c>
      <c r="B182" s="363"/>
      <c r="C182" s="363"/>
    </row>
    <row r="183" spans="1:3" ht="12" outlineLevel="1">
      <c r="A183" s="71" t="s">
        <v>16</v>
      </c>
      <c r="B183" s="363"/>
      <c r="C183" s="363"/>
    </row>
    <row r="184" spans="1:3" ht="12" outlineLevel="1">
      <c r="A184" s="71" t="s">
        <v>97</v>
      </c>
      <c r="B184" s="363"/>
      <c r="C184" s="363"/>
    </row>
    <row r="185" spans="1:3" ht="12" outlineLevel="1">
      <c r="A185" s="74" t="s">
        <v>98</v>
      </c>
      <c r="B185" s="73" t="s">
        <v>73</v>
      </c>
      <c r="C185" s="80"/>
    </row>
    <row r="186" spans="1:3" ht="12" outlineLevel="1">
      <c r="A186" s="76" t="s">
        <v>99</v>
      </c>
      <c r="B186" s="364"/>
      <c r="C186" s="364"/>
    </row>
    <row r="187" spans="1:3" ht="6.75" customHeight="1">
      <c r="A187" s="77"/>
      <c r="B187" s="78"/>
      <c r="C187" s="79"/>
    </row>
    <row r="188" spans="1:3" ht="12" outlineLevel="1">
      <c r="A188" s="369" t="s">
        <v>110</v>
      </c>
      <c r="B188" s="369"/>
      <c r="C188" s="369"/>
    </row>
    <row r="189" spans="1:3" ht="12" outlineLevel="1">
      <c r="A189" s="71" t="s">
        <v>96</v>
      </c>
      <c r="B189" s="363"/>
      <c r="C189" s="363"/>
    </row>
    <row r="190" spans="1:3" ht="12" outlineLevel="1">
      <c r="A190" s="71" t="s">
        <v>41</v>
      </c>
      <c r="B190" s="363"/>
      <c r="C190" s="363"/>
    </row>
    <row r="191" spans="1:3" ht="12" outlineLevel="1">
      <c r="A191" s="71" t="s">
        <v>16</v>
      </c>
      <c r="B191" s="363"/>
      <c r="C191" s="363"/>
    </row>
    <row r="192" spans="1:3" ht="12" outlineLevel="1">
      <c r="A192" s="71" t="s">
        <v>97</v>
      </c>
      <c r="B192" s="363"/>
      <c r="C192" s="363"/>
    </row>
    <row r="193" spans="1:3" ht="12" outlineLevel="1">
      <c r="A193" s="74" t="s">
        <v>98</v>
      </c>
      <c r="B193" s="73" t="s">
        <v>73</v>
      </c>
      <c r="C193" s="80"/>
    </row>
    <row r="194" spans="1:3" ht="12" outlineLevel="1">
      <c r="A194" s="76" t="s">
        <v>99</v>
      </c>
      <c r="B194" s="364"/>
      <c r="C194" s="364"/>
    </row>
    <row r="195" spans="1:3" ht="6.75" customHeight="1">
      <c r="A195" s="77"/>
      <c r="B195" s="78"/>
      <c r="C195" s="79"/>
    </row>
    <row r="196" spans="1:3" ht="12" outlineLevel="1">
      <c r="A196" s="369" t="s">
        <v>111</v>
      </c>
      <c r="B196" s="369"/>
      <c r="C196" s="369"/>
    </row>
    <row r="197" spans="1:3" ht="12" outlineLevel="1">
      <c r="A197" s="71" t="s">
        <v>96</v>
      </c>
      <c r="B197" s="363"/>
      <c r="C197" s="363"/>
    </row>
    <row r="198" spans="1:3" ht="12" outlineLevel="1">
      <c r="A198" s="71" t="s">
        <v>41</v>
      </c>
      <c r="B198" s="363"/>
      <c r="C198" s="363"/>
    </row>
    <row r="199" spans="1:3" ht="12" outlineLevel="1">
      <c r="A199" s="71" t="s">
        <v>16</v>
      </c>
      <c r="B199" s="363"/>
      <c r="C199" s="363"/>
    </row>
    <row r="200" spans="1:3" ht="12" outlineLevel="1">
      <c r="A200" s="71" t="s">
        <v>97</v>
      </c>
      <c r="B200" s="363"/>
      <c r="C200" s="363"/>
    </row>
    <row r="201" spans="1:3" ht="12" outlineLevel="1">
      <c r="A201" s="74" t="s">
        <v>98</v>
      </c>
      <c r="B201" s="73" t="s">
        <v>73</v>
      </c>
      <c r="C201" s="80"/>
    </row>
    <row r="202" spans="1:3" ht="12" outlineLevel="1">
      <c r="A202" s="76" t="s">
        <v>99</v>
      </c>
      <c r="B202" s="364"/>
      <c r="C202" s="364"/>
    </row>
    <row r="203" spans="1:3" ht="6.75" customHeight="1">
      <c r="A203" s="77"/>
      <c r="B203" s="78"/>
      <c r="C203" s="79"/>
    </row>
    <row r="204" spans="1:3" ht="12" outlineLevel="1">
      <c r="A204" s="369" t="s">
        <v>112</v>
      </c>
      <c r="B204" s="369"/>
      <c r="C204" s="369"/>
    </row>
    <row r="205" spans="1:3" ht="12" outlineLevel="1">
      <c r="A205" s="71" t="s">
        <v>96</v>
      </c>
      <c r="B205" s="363"/>
      <c r="C205" s="363"/>
    </row>
    <row r="206" spans="1:3" ht="12" outlineLevel="1">
      <c r="A206" s="71" t="s">
        <v>41</v>
      </c>
      <c r="B206" s="363"/>
      <c r="C206" s="363"/>
    </row>
    <row r="207" spans="1:3" ht="12" outlineLevel="1">
      <c r="A207" s="71" t="s">
        <v>16</v>
      </c>
      <c r="B207" s="363"/>
      <c r="C207" s="363"/>
    </row>
    <row r="208" spans="1:3" ht="12" outlineLevel="1">
      <c r="A208" s="71" t="s">
        <v>97</v>
      </c>
      <c r="B208" s="363"/>
      <c r="C208" s="363"/>
    </row>
    <row r="209" spans="1:3" ht="12" outlineLevel="1">
      <c r="A209" s="74" t="s">
        <v>98</v>
      </c>
      <c r="B209" s="73" t="s">
        <v>73</v>
      </c>
      <c r="C209" s="80"/>
    </row>
    <row r="210" spans="1:3" ht="12" outlineLevel="1">
      <c r="A210" s="76" t="s">
        <v>99</v>
      </c>
      <c r="B210" s="364"/>
      <c r="C210" s="364"/>
    </row>
    <row r="211" spans="1:3" ht="6.75" customHeight="1">
      <c r="A211" s="77"/>
      <c r="B211" s="78"/>
      <c r="C211" s="79"/>
    </row>
    <row r="212" spans="1:3" ht="12" outlineLevel="1">
      <c r="A212" s="369" t="s">
        <v>113</v>
      </c>
      <c r="B212" s="369"/>
      <c r="C212" s="369"/>
    </row>
    <row r="213" spans="1:3" ht="12" outlineLevel="1">
      <c r="A213" s="71" t="s">
        <v>96</v>
      </c>
      <c r="B213" s="363"/>
      <c r="C213" s="363"/>
    </row>
    <row r="214" spans="1:3" ht="12" outlineLevel="1">
      <c r="A214" s="71" t="s">
        <v>41</v>
      </c>
      <c r="B214" s="363"/>
      <c r="C214" s="363"/>
    </row>
    <row r="215" spans="1:3" ht="12" outlineLevel="1">
      <c r="A215" s="71" t="s">
        <v>16</v>
      </c>
      <c r="B215" s="363"/>
      <c r="C215" s="363"/>
    </row>
    <row r="216" spans="1:3" ht="12" outlineLevel="1">
      <c r="A216" s="71" t="s">
        <v>97</v>
      </c>
      <c r="B216" s="363"/>
      <c r="C216" s="363"/>
    </row>
    <row r="217" spans="1:3" ht="12" outlineLevel="1">
      <c r="A217" s="74" t="s">
        <v>98</v>
      </c>
      <c r="B217" s="73" t="s">
        <v>73</v>
      </c>
      <c r="C217" s="80"/>
    </row>
    <row r="218" spans="1:3" ht="12" outlineLevel="1">
      <c r="A218" s="76" t="s">
        <v>99</v>
      </c>
      <c r="B218" s="364"/>
      <c r="C218" s="364"/>
    </row>
    <row r="219" spans="1:3" ht="6.75" customHeight="1">
      <c r="A219" s="77"/>
      <c r="B219" s="78"/>
      <c r="C219" s="79"/>
    </row>
    <row r="220" spans="1:3" ht="12" outlineLevel="1">
      <c r="A220" s="369" t="s">
        <v>114</v>
      </c>
      <c r="B220" s="369"/>
      <c r="C220" s="369"/>
    </row>
    <row r="221" spans="1:3" ht="12" outlineLevel="1">
      <c r="A221" s="71" t="s">
        <v>96</v>
      </c>
      <c r="B221" s="363"/>
      <c r="C221" s="363"/>
    </row>
    <row r="222" spans="1:3" ht="12" outlineLevel="1">
      <c r="A222" s="71" t="s">
        <v>41</v>
      </c>
      <c r="B222" s="363"/>
      <c r="C222" s="363"/>
    </row>
    <row r="223" spans="1:3" ht="12" outlineLevel="1">
      <c r="A223" s="71" t="s">
        <v>16</v>
      </c>
      <c r="B223" s="363"/>
      <c r="C223" s="363"/>
    </row>
    <row r="224" spans="1:3" ht="12" outlineLevel="1">
      <c r="A224" s="71" t="s">
        <v>97</v>
      </c>
      <c r="B224" s="363"/>
      <c r="C224" s="363"/>
    </row>
    <row r="225" spans="1:3" ht="12" outlineLevel="1">
      <c r="A225" s="74" t="s">
        <v>98</v>
      </c>
      <c r="B225" s="73" t="s">
        <v>73</v>
      </c>
      <c r="C225" s="80"/>
    </row>
    <row r="226" spans="1:3" ht="12" outlineLevel="1">
      <c r="A226" s="76" t="s">
        <v>99</v>
      </c>
      <c r="B226" s="364"/>
      <c r="C226" s="364"/>
    </row>
    <row r="227" spans="1:3" ht="6.75" customHeight="1">
      <c r="A227" s="77"/>
      <c r="B227" s="78"/>
      <c r="C227" s="79"/>
    </row>
    <row r="228" spans="1:3" ht="12" outlineLevel="1">
      <c r="A228" s="369" t="s">
        <v>115</v>
      </c>
      <c r="B228" s="369"/>
      <c r="C228" s="369"/>
    </row>
    <row r="229" spans="1:3" ht="12" outlineLevel="1">
      <c r="A229" s="71" t="s">
        <v>96</v>
      </c>
      <c r="B229" s="363"/>
      <c r="C229" s="363"/>
    </row>
    <row r="230" spans="1:3" ht="12" outlineLevel="1">
      <c r="A230" s="71" t="s">
        <v>41</v>
      </c>
      <c r="B230" s="363"/>
      <c r="C230" s="363"/>
    </row>
    <row r="231" spans="1:3" ht="12" outlineLevel="1">
      <c r="A231" s="71" t="s">
        <v>16</v>
      </c>
      <c r="B231" s="363"/>
      <c r="C231" s="363"/>
    </row>
    <row r="232" spans="1:3" ht="12" outlineLevel="1">
      <c r="A232" s="71" t="s">
        <v>97</v>
      </c>
      <c r="B232" s="363"/>
      <c r="C232" s="363"/>
    </row>
    <row r="233" spans="1:3" ht="12" outlineLevel="1">
      <c r="A233" s="74" t="s">
        <v>98</v>
      </c>
      <c r="B233" s="73" t="s">
        <v>73</v>
      </c>
      <c r="C233" s="80"/>
    </row>
    <row r="234" spans="1:3" ht="12" outlineLevel="1">
      <c r="A234" s="76" t="s">
        <v>99</v>
      </c>
      <c r="B234" s="364"/>
      <c r="C234" s="364"/>
    </row>
    <row r="235" spans="1:3" ht="6.75" customHeight="1">
      <c r="A235" s="77"/>
      <c r="B235" s="78"/>
      <c r="C235" s="79"/>
    </row>
    <row r="236" spans="1:3" ht="12" outlineLevel="1">
      <c r="A236" s="369" t="s">
        <v>116</v>
      </c>
      <c r="B236" s="369"/>
      <c r="C236" s="369"/>
    </row>
    <row r="237" spans="1:3" ht="12" outlineLevel="1">
      <c r="A237" s="71" t="s">
        <v>96</v>
      </c>
      <c r="B237" s="363"/>
      <c r="C237" s="363"/>
    </row>
    <row r="238" spans="1:3" ht="12" outlineLevel="1">
      <c r="A238" s="71" t="s">
        <v>41</v>
      </c>
      <c r="B238" s="363"/>
      <c r="C238" s="363"/>
    </row>
    <row r="239" spans="1:3" ht="12" outlineLevel="1">
      <c r="A239" s="71" t="s">
        <v>16</v>
      </c>
      <c r="B239" s="363"/>
      <c r="C239" s="363"/>
    </row>
    <row r="240" spans="1:3" ht="12" outlineLevel="1">
      <c r="A240" s="71" t="s">
        <v>97</v>
      </c>
      <c r="B240" s="363"/>
      <c r="C240" s="363"/>
    </row>
    <row r="241" spans="1:3" ht="12" outlineLevel="1">
      <c r="A241" s="74" t="s">
        <v>98</v>
      </c>
      <c r="B241" s="73" t="s">
        <v>73</v>
      </c>
      <c r="C241" s="80"/>
    </row>
    <row r="242" spans="1:3" ht="12" outlineLevel="1">
      <c r="A242" s="76" t="s">
        <v>99</v>
      </c>
      <c r="B242" s="364"/>
      <c r="C242" s="364"/>
    </row>
    <row r="243" spans="1:3" ht="6.75" customHeight="1">
      <c r="A243" s="77"/>
      <c r="B243" s="78"/>
      <c r="C243" s="79"/>
    </row>
    <row r="244" spans="1:3" ht="12" outlineLevel="1">
      <c r="A244" s="369" t="s">
        <v>117</v>
      </c>
      <c r="B244" s="369"/>
      <c r="C244" s="369"/>
    </row>
    <row r="245" spans="1:3" ht="12" outlineLevel="1">
      <c r="A245" s="71" t="s">
        <v>96</v>
      </c>
      <c r="B245" s="363"/>
      <c r="C245" s="363"/>
    </row>
    <row r="246" spans="1:3" ht="12" outlineLevel="1">
      <c r="A246" s="71" t="s">
        <v>41</v>
      </c>
      <c r="B246" s="363"/>
      <c r="C246" s="363"/>
    </row>
    <row r="247" spans="1:3" ht="12" outlineLevel="1">
      <c r="A247" s="71" t="s">
        <v>16</v>
      </c>
      <c r="B247" s="363"/>
      <c r="C247" s="363"/>
    </row>
    <row r="248" spans="1:3" ht="12" outlineLevel="1">
      <c r="A248" s="71" t="s">
        <v>97</v>
      </c>
      <c r="B248" s="363"/>
      <c r="C248" s="363"/>
    </row>
    <row r="249" spans="1:3" ht="12" outlineLevel="1">
      <c r="A249" s="74" t="s">
        <v>98</v>
      </c>
      <c r="B249" s="73" t="s">
        <v>73</v>
      </c>
      <c r="C249" s="80"/>
    </row>
    <row r="250" spans="1:3" ht="12" outlineLevel="1">
      <c r="A250" s="76" t="s">
        <v>99</v>
      </c>
      <c r="B250" s="364"/>
      <c r="C250" s="364"/>
    </row>
    <row r="251" spans="1:3" ht="6.75" customHeight="1">
      <c r="A251" s="77"/>
      <c r="B251" s="78"/>
      <c r="C251" s="79"/>
    </row>
    <row r="252" spans="1:3" ht="12" outlineLevel="1">
      <c r="A252" s="365" t="s">
        <v>118</v>
      </c>
      <c r="B252" s="365"/>
      <c r="C252" s="365"/>
    </row>
    <row r="253" spans="1:3" ht="12" outlineLevel="1">
      <c r="A253" s="71" t="s">
        <v>96</v>
      </c>
      <c r="B253" s="363"/>
      <c r="C253" s="363"/>
    </row>
    <row r="254" spans="1:3" ht="12" outlineLevel="1">
      <c r="A254" s="71" t="s">
        <v>41</v>
      </c>
      <c r="B254" s="363"/>
      <c r="C254" s="363"/>
    </row>
    <row r="255" spans="1:3" ht="12" outlineLevel="1">
      <c r="A255" s="71" t="s">
        <v>16</v>
      </c>
      <c r="B255" s="363"/>
      <c r="C255" s="363"/>
    </row>
    <row r="256" spans="1:3" ht="12" outlineLevel="1">
      <c r="A256" s="71" t="s">
        <v>97</v>
      </c>
      <c r="B256" s="363"/>
      <c r="C256" s="363"/>
    </row>
    <row r="257" spans="1:3" ht="12" outlineLevel="1">
      <c r="A257" s="74" t="s">
        <v>98</v>
      </c>
      <c r="B257" s="73" t="s">
        <v>73</v>
      </c>
      <c r="C257" s="80"/>
    </row>
    <row r="258" spans="1:3" ht="12" outlineLevel="1">
      <c r="A258" s="76" t="s">
        <v>99</v>
      </c>
      <c r="B258" s="364"/>
      <c r="C258" s="364"/>
    </row>
    <row r="259" spans="1:3" ht="6.75" customHeight="1">
      <c r="A259" s="77"/>
      <c r="B259" s="78"/>
      <c r="C259" s="79"/>
    </row>
    <row r="260" spans="1:3" ht="12" outlineLevel="1">
      <c r="A260" s="365" t="s">
        <v>65</v>
      </c>
      <c r="B260" s="365"/>
      <c r="C260" s="365"/>
    </row>
    <row r="261" spans="1:3" ht="12" outlineLevel="1">
      <c r="A261" s="71" t="s">
        <v>96</v>
      </c>
      <c r="B261" s="363"/>
      <c r="C261" s="363"/>
    </row>
    <row r="262" spans="1:3" ht="12" outlineLevel="1">
      <c r="A262" s="71" t="s">
        <v>41</v>
      </c>
      <c r="B262" s="363"/>
      <c r="C262" s="363"/>
    </row>
    <row r="263" spans="1:3" ht="12" outlineLevel="1">
      <c r="A263" s="71" t="s">
        <v>16</v>
      </c>
      <c r="B263" s="363"/>
      <c r="C263" s="363"/>
    </row>
    <row r="264" spans="1:3" ht="12" outlineLevel="1">
      <c r="A264" s="71" t="s">
        <v>97</v>
      </c>
      <c r="B264" s="363"/>
      <c r="C264" s="363"/>
    </row>
    <row r="265" spans="1:3" ht="12" outlineLevel="1">
      <c r="A265" s="74" t="s">
        <v>98</v>
      </c>
      <c r="B265" s="73" t="s">
        <v>73</v>
      </c>
      <c r="C265" s="80"/>
    </row>
    <row r="266" spans="1:3" ht="12" outlineLevel="1">
      <c r="A266" s="76" t="s">
        <v>99</v>
      </c>
      <c r="B266" s="364"/>
      <c r="C266" s="364"/>
    </row>
  </sheetData>
  <sheetProtection password="DD05" sheet="1" objects="1" scenarios="1"/>
  <mergeCells count="180">
    <mergeCell ref="A10:C10"/>
    <mergeCell ref="B12:C12"/>
    <mergeCell ref="A16:C16"/>
    <mergeCell ref="A5:C5"/>
    <mergeCell ref="A8:C8"/>
    <mergeCell ref="A9:C9"/>
    <mergeCell ref="A51:C51"/>
    <mergeCell ref="A52:C52"/>
    <mergeCell ref="A43:C43"/>
    <mergeCell ref="A7:C7"/>
    <mergeCell ref="A11:C11"/>
    <mergeCell ref="A13:C13"/>
    <mergeCell ref="A15:C15"/>
    <mergeCell ref="A18:A19"/>
    <mergeCell ref="B18:C19"/>
    <mergeCell ref="A20:A21"/>
    <mergeCell ref="B20:C21"/>
    <mergeCell ref="A17:C17"/>
    <mergeCell ref="A1:C1"/>
    <mergeCell ref="A2:C2"/>
    <mergeCell ref="A4:C4"/>
    <mergeCell ref="A6:C6"/>
    <mergeCell ref="A3:C3"/>
    <mergeCell ref="A25:C25"/>
    <mergeCell ref="A26:C26"/>
    <mergeCell ref="B29:C30"/>
    <mergeCell ref="B31:C31"/>
    <mergeCell ref="B22:C22"/>
    <mergeCell ref="B23:C23"/>
    <mergeCell ref="A29:A30"/>
    <mergeCell ref="B24:C24"/>
    <mergeCell ref="A27:A28"/>
    <mergeCell ref="B27:C28"/>
    <mergeCell ref="B101:C101"/>
    <mergeCell ref="B102:C102"/>
    <mergeCell ref="B45:C45"/>
    <mergeCell ref="B46:C46"/>
    <mergeCell ref="B33:C33"/>
    <mergeCell ref="B36:C36"/>
    <mergeCell ref="B37:C37"/>
    <mergeCell ref="B38:C38"/>
    <mergeCell ref="A41:C41"/>
    <mergeCell ref="A42:C42"/>
    <mergeCell ref="A54:C54"/>
    <mergeCell ref="A55:C96"/>
    <mergeCell ref="A47:C47"/>
    <mergeCell ref="A48:C48"/>
    <mergeCell ref="B32:C32"/>
    <mergeCell ref="A100:C100"/>
    <mergeCell ref="A35:C35"/>
    <mergeCell ref="A40:C40"/>
    <mergeCell ref="B103:C103"/>
    <mergeCell ref="B104:C104"/>
    <mergeCell ref="B106:C106"/>
    <mergeCell ref="A108:C108"/>
    <mergeCell ref="A34:C34"/>
    <mergeCell ref="A97:C97"/>
    <mergeCell ref="A98:C98"/>
    <mergeCell ref="A99:C99"/>
    <mergeCell ref="B39:C39"/>
    <mergeCell ref="A53:C53"/>
    <mergeCell ref="B127:C127"/>
    <mergeCell ref="B128:C128"/>
    <mergeCell ref="B118:C118"/>
    <mergeCell ref="B109:C109"/>
    <mergeCell ref="B110:C110"/>
    <mergeCell ref="B111:C111"/>
    <mergeCell ref="B112:C112"/>
    <mergeCell ref="B114:C114"/>
    <mergeCell ref="A116:C116"/>
    <mergeCell ref="B117:C117"/>
    <mergeCell ref="B119:C119"/>
    <mergeCell ref="B120:C120"/>
    <mergeCell ref="B122:C122"/>
    <mergeCell ref="A124:C124"/>
    <mergeCell ref="B125:C125"/>
    <mergeCell ref="B126:C126"/>
    <mergeCell ref="B149:C149"/>
    <mergeCell ref="B150:C150"/>
    <mergeCell ref="B130:C130"/>
    <mergeCell ref="A132:C132"/>
    <mergeCell ref="B133:C133"/>
    <mergeCell ref="B134:C134"/>
    <mergeCell ref="B135:C135"/>
    <mergeCell ref="B136:C136"/>
    <mergeCell ref="B138:C138"/>
    <mergeCell ref="A140:C140"/>
    <mergeCell ref="B141:C141"/>
    <mergeCell ref="B142:C142"/>
    <mergeCell ref="B143:C143"/>
    <mergeCell ref="B144:C144"/>
    <mergeCell ref="B146:C146"/>
    <mergeCell ref="A148:C148"/>
    <mergeCell ref="B170:C170"/>
    <mergeCell ref="A172:C172"/>
    <mergeCell ref="B151:C151"/>
    <mergeCell ref="B152:C152"/>
    <mergeCell ref="B154:C154"/>
    <mergeCell ref="A156:C156"/>
    <mergeCell ref="B157:C157"/>
    <mergeCell ref="B158:C158"/>
    <mergeCell ref="B159:C159"/>
    <mergeCell ref="B160:C160"/>
    <mergeCell ref="B162:C162"/>
    <mergeCell ref="A164:C164"/>
    <mergeCell ref="B165:C165"/>
    <mergeCell ref="B166:C166"/>
    <mergeCell ref="B167:C167"/>
    <mergeCell ref="B168:C168"/>
    <mergeCell ref="B191:C191"/>
    <mergeCell ref="B192:C192"/>
    <mergeCell ref="B173:C173"/>
    <mergeCell ref="B174:C174"/>
    <mergeCell ref="B175:C175"/>
    <mergeCell ref="B176:C176"/>
    <mergeCell ref="B178:C178"/>
    <mergeCell ref="A180:C180"/>
    <mergeCell ref="B181:C181"/>
    <mergeCell ref="B182:C182"/>
    <mergeCell ref="B183:C183"/>
    <mergeCell ref="B184:C184"/>
    <mergeCell ref="B186:C186"/>
    <mergeCell ref="A188:C188"/>
    <mergeCell ref="B189:C189"/>
    <mergeCell ref="B190:C190"/>
    <mergeCell ref="B213:C213"/>
    <mergeCell ref="B214:C214"/>
    <mergeCell ref="B194:C194"/>
    <mergeCell ref="A196:C196"/>
    <mergeCell ref="B197:C197"/>
    <mergeCell ref="B198:C198"/>
    <mergeCell ref="B199:C199"/>
    <mergeCell ref="B200:C200"/>
    <mergeCell ref="B202:C202"/>
    <mergeCell ref="A204:C204"/>
    <mergeCell ref="B205:C205"/>
    <mergeCell ref="B206:C206"/>
    <mergeCell ref="B207:C207"/>
    <mergeCell ref="B208:C208"/>
    <mergeCell ref="B210:C210"/>
    <mergeCell ref="A212:C212"/>
    <mergeCell ref="B234:C234"/>
    <mergeCell ref="A236:C236"/>
    <mergeCell ref="B215:C215"/>
    <mergeCell ref="B216:C216"/>
    <mergeCell ref="B218:C218"/>
    <mergeCell ref="A220:C220"/>
    <mergeCell ref="B221:C221"/>
    <mergeCell ref="B222:C222"/>
    <mergeCell ref="B223:C223"/>
    <mergeCell ref="B224:C224"/>
    <mergeCell ref="B226:C226"/>
    <mergeCell ref="A228:C228"/>
    <mergeCell ref="B229:C229"/>
    <mergeCell ref="B230:C230"/>
    <mergeCell ref="B231:C231"/>
    <mergeCell ref="B232:C232"/>
    <mergeCell ref="B255:C255"/>
    <mergeCell ref="B256:C256"/>
    <mergeCell ref="B237:C237"/>
    <mergeCell ref="B238:C238"/>
    <mergeCell ref="B239:C239"/>
    <mergeCell ref="B240:C240"/>
    <mergeCell ref="B242:C242"/>
    <mergeCell ref="A244:C244"/>
    <mergeCell ref="B245:C245"/>
    <mergeCell ref="B246:C246"/>
    <mergeCell ref="B247:C247"/>
    <mergeCell ref="B248:C248"/>
    <mergeCell ref="B250:C250"/>
    <mergeCell ref="A252:C252"/>
    <mergeCell ref="B253:C253"/>
    <mergeCell ref="B254:C254"/>
    <mergeCell ref="B263:C263"/>
    <mergeCell ref="B264:C264"/>
    <mergeCell ref="B266:C266"/>
    <mergeCell ref="B258:C258"/>
    <mergeCell ref="A260:C260"/>
    <mergeCell ref="B261:C261"/>
    <mergeCell ref="B262:C262"/>
  </mergeCells>
  <conditionalFormatting sqref="B12:C12">
    <cfRule type="cellIs" priority="1" dxfId="0" operator="equal" stopIfTrue="1">
      <formula>""""""</formula>
    </cfRule>
  </conditionalFormatting>
  <conditionalFormatting sqref="B14 B44 B49:B50 B105 B113 B121 B129 B137 B145 B153 B161 B169 B177 B185 B193 B201 B209 B217 B225 B233 B241 B249 B257 B265">
    <cfRule type="cellIs" priority="2" dxfId="0" operator="equal" stopIfTrue="1">
      <formula>"Select…"</formula>
    </cfRule>
  </conditionalFormatting>
  <dataValidations count="5">
    <dataValidation type="list" allowBlank="1" showErrorMessage="1" sqref="B44">
      <formula1>LocationType</formula1>
      <formula2>0</formula2>
    </dataValidation>
    <dataValidation type="list" allowBlank="1" showErrorMessage="1" sqref="B14">
      <formula1>ProjectType</formula1>
      <formula2>0</formula2>
    </dataValidation>
    <dataValidation type="list" allowBlank="1" showErrorMessage="1" sqref="B49">
      <formula1>PropellorType</formula1>
      <formula2>0</formula2>
    </dataValidation>
    <dataValidation type="list" allowBlank="1" showErrorMessage="1" sqref="B50">
      <formula1>TransmitterType</formula1>
      <formula2>0</formula2>
    </dataValidation>
    <dataValidation type="list" allowBlank="1" showErrorMessage="1" sqref="B105 B113 B121 B129 B137 B145 B153 B161 B169 B177 B185 B193 B201 B209 B217 B225 B233 B241 B249 B257 B265">
      <formula1>SkillType</formula1>
      <formula2>0</formula2>
    </dataValidation>
  </dataValidations>
  <printOptions gridLines="1"/>
  <pageMargins left="0.7875" right="0.7875" top="0.4722222222222222" bottom="0.4722222222222222" header="0.5118055555555555" footer="0.5118055555555555"/>
  <pageSetup horizontalDpi="300" verticalDpi="300" orientation="portrait" paperSize="9" scale="61"/>
  <rowBreaks count="2" manualBreakCount="2">
    <brk id="96" max="255" man="1"/>
    <brk id="186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zoomScale="85" zoomScaleNormal="85" zoomScaleSheetLayoutView="85" workbookViewId="0" topLeftCell="A1">
      <selection activeCell="C27" sqref="C27:F27"/>
    </sheetView>
  </sheetViews>
  <sheetFormatPr defaultColWidth="11.421875" defaultRowHeight="12.75"/>
  <cols>
    <col min="1" max="1" width="19.421875" style="0" customWidth="1"/>
    <col min="2" max="2" width="20.421875" style="0" customWidth="1"/>
    <col min="3" max="3" width="38.421875" style="0" customWidth="1"/>
    <col min="4" max="4" width="3.7109375" style="0" customWidth="1"/>
    <col min="5" max="5" width="20.8515625" style="0" customWidth="1"/>
    <col min="6" max="6" width="3.7109375" style="0" customWidth="1"/>
  </cols>
  <sheetData>
    <row r="1" spans="1:6" ht="24" customHeight="1">
      <c r="A1" s="492" t="str">
        <f>ANNEE</f>
        <v>2011-2012</v>
      </c>
      <c r="B1" s="492"/>
      <c r="C1" s="492"/>
      <c r="D1" s="492"/>
      <c r="E1" s="492"/>
      <c r="F1" s="492"/>
    </row>
    <row r="2" spans="1:6" ht="18">
      <c r="A2" s="493" t="s">
        <v>119</v>
      </c>
      <c r="B2" s="493"/>
      <c r="C2" s="493"/>
      <c r="D2" s="493"/>
      <c r="E2" s="493"/>
      <c r="F2" s="493"/>
    </row>
    <row r="3" spans="1:6" ht="12" customHeight="1">
      <c r="A3" s="448"/>
      <c r="B3" s="448"/>
      <c r="C3" s="448"/>
      <c r="D3" s="448"/>
      <c r="E3" s="448"/>
      <c r="F3" s="448"/>
    </row>
    <row r="4" spans="1:6" ht="15">
      <c r="A4" s="494" t="str">
        <f>"A retourner avant le "&amp;Source!A33</f>
        <v>A retourner avant le 27 janvier 2012</v>
      </c>
      <c r="B4" s="494"/>
      <c r="C4" s="494"/>
      <c r="D4" s="494"/>
      <c r="E4" s="494"/>
      <c r="F4" s="494"/>
    </row>
    <row r="5" spans="1:6" ht="12" customHeight="1">
      <c r="A5" s="491"/>
      <c r="B5" s="491"/>
      <c r="C5" s="491"/>
      <c r="D5" s="491"/>
      <c r="E5" s="491"/>
      <c r="F5" s="491"/>
    </row>
    <row r="6" spans="1:6" ht="12">
      <c r="A6" s="497" t="s">
        <v>5</v>
      </c>
      <c r="B6" s="497"/>
      <c r="C6" s="497"/>
      <c r="D6" s="497"/>
      <c r="E6" s="497"/>
      <c r="F6" s="497"/>
    </row>
    <row r="7" spans="1:6" ht="12" customHeight="1">
      <c r="A7" s="498"/>
      <c r="B7" s="498"/>
      <c r="C7" s="498"/>
      <c r="D7" s="498"/>
      <c r="E7" s="498"/>
      <c r="F7" s="498"/>
    </row>
    <row r="8" spans="1:6" ht="12">
      <c r="A8" s="450" t="s">
        <v>120</v>
      </c>
      <c r="B8" s="450"/>
      <c r="C8" s="450"/>
      <c r="D8" s="450"/>
      <c r="E8" s="450"/>
      <c r="F8" s="450"/>
    </row>
    <row r="9" spans="1:6" ht="12">
      <c r="A9" s="450" t="s">
        <v>121</v>
      </c>
      <c r="B9" s="450"/>
      <c r="C9" s="450"/>
      <c r="D9" s="450"/>
      <c r="E9" s="450"/>
      <c r="F9" s="450"/>
    </row>
    <row r="10" spans="1:6" ht="6" customHeight="1">
      <c r="A10" s="488"/>
      <c r="B10" s="488"/>
      <c r="C10" s="488"/>
      <c r="D10" s="488"/>
      <c r="E10" s="488"/>
      <c r="F10" s="488"/>
    </row>
    <row r="11" spans="1:6" ht="15" customHeight="1">
      <c r="A11" s="84" t="s">
        <v>122</v>
      </c>
      <c r="B11" s="489" t="str">
        <f>IF('1-Déclaration'!$B$12="","",'1-Déclaration'!$B$12)</f>
        <v>PERSEUS Ares07EvoP2 (Ares-EVE4)</v>
      </c>
      <c r="C11" s="489"/>
      <c r="D11" s="489"/>
      <c r="E11" s="489"/>
      <c r="F11" s="489"/>
    </row>
    <row r="12" spans="1:6" ht="12" customHeight="1">
      <c r="A12" s="490"/>
      <c r="B12" s="490"/>
      <c r="C12" s="490"/>
      <c r="D12" s="490"/>
      <c r="E12" s="490"/>
      <c r="F12" s="490"/>
    </row>
    <row r="13" spans="1:6" ht="15" customHeight="1">
      <c r="A13" s="85" t="s">
        <v>123</v>
      </c>
      <c r="B13" s="499" t="str">
        <f>IF('1-Déclaration'!$B$18="","",'1-Déclaration'!$B$18)</f>
        <v>Octave</v>
      </c>
      <c r="C13" s="499"/>
      <c r="D13" s="499"/>
      <c r="E13" s="499"/>
      <c r="F13" s="499"/>
    </row>
    <row r="14" spans="1:6" ht="6" customHeight="1">
      <c r="A14" s="500"/>
      <c r="B14" s="500"/>
      <c r="C14" s="500"/>
      <c r="D14" s="500"/>
      <c r="E14" s="500"/>
      <c r="F14" s="500"/>
    </row>
    <row r="15" spans="1:6" ht="15" customHeight="1">
      <c r="A15" s="449" t="s">
        <v>124</v>
      </c>
      <c r="B15" s="449"/>
      <c r="C15" s="449"/>
      <c r="D15" s="449"/>
      <c r="E15" s="449"/>
      <c r="F15" s="449"/>
    </row>
    <row r="16" spans="1:6" ht="12" customHeight="1">
      <c r="A16" s="448"/>
      <c r="B16" s="448"/>
      <c r="C16" s="448"/>
      <c r="D16" s="448"/>
      <c r="E16" s="448"/>
      <c r="F16" s="448"/>
    </row>
    <row r="17" spans="1:6" ht="12">
      <c r="A17" s="86" t="s">
        <v>10</v>
      </c>
      <c r="B17" s="483" t="s">
        <v>686</v>
      </c>
      <c r="C17" s="483"/>
      <c r="D17" s="484">
        <f>IF(E128="Oui","SPECIAL","")</f>
      </c>
      <c r="E17" s="484"/>
      <c r="F17" s="484"/>
    </row>
    <row r="18" spans="1:6" ht="12" customHeight="1">
      <c r="A18" s="451"/>
      <c r="B18" s="451"/>
      <c r="C18" s="451"/>
      <c r="D18" s="451"/>
      <c r="E18" s="451"/>
      <c r="F18" s="451"/>
    </row>
    <row r="19" spans="1:6" ht="12">
      <c r="A19" s="86" t="s">
        <v>125</v>
      </c>
      <c r="B19" s="485" t="s">
        <v>760</v>
      </c>
      <c r="C19" s="483"/>
      <c r="D19" s="486"/>
      <c r="E19" s="487"/>
      <c r="F19" s="465"/>
    </row>
    <row r="20" spans="1:6" ht="12" customHeight="1">
      <c r="A20" s="491"/>
      <c r="B20" s="491"/>
      <c r="C20" s="491"/>
      <c r="D20" s="491"/>
      <c r="E20" s="491"/>
      <c r="F20" s="491"/>
    </row>
    <row r="21" spans="1:6" ht="6" customHeight="1">
      <c r="A21" s="88"/>
      <c r="B21" s="89"/>
      <c r="C21" s="89"/>
      <c r="D21" s="89"/>
      <c r="E21" s="89"/>
      <c r="F21" s="90"/>
    </row>
    <row r="22" spans="1:6" ht="15" customHeight="1">
      <c r="A22" s="449" t="s">
        <v>126</v>
      </c>
      <c r="B22" s="449"/>
      <c r="C22" s="449"/>
      <c r="D22" s="449"/>
      <c r="E22" s="449"/>
      <c r="F22" s="449"/>
    </row>
    <row r="23" spans="1:6" ht="12">
      <c r="A23" s="450" t="s">
        <v>127</v>
      </c>
      <c r="B23" s="450"/>
      <c r="C23" s="450"/>
      <c r="D23" s="450"/>
      <c r="E23" s="450"/>
      <c r="F23" s="450"/>
    </row>
    <row r="24" spans="1:6" ht="12">
      <c r="A24" s="450" t="s">
        <v>128</v>
      </c>
      <c r="B24" s="450"/>
      <c r="C24" s="450"/>
      <c r="D24" s="450"/>
      <c r="E24" s="450"/>
      <c r="F24" s="450"/>
    </row>
    <row r="25" spans="1:6" ht="12" customHeight="1">
      <c r="A25" s="450" t="s">
        <v>129</v>
      </c>
      <c r="B25" s="450"/>
      <c r="C25" s="450"/>
      <c r="D25" s="450"/>
      <c r="E25" s="450"/>
      <c r="F25" s="450"/>
    </row>
    <row r="26" spans="1:6" ht="8.25" customHeight="1">
      <c r="A26" s="448"/>
      <c r="B26" s="448"/>
      <c r="C26" s="448"/>
      <c r="D26" s="448"/>
      <c r="E26" s="448"/>
      <c r="F26" s="448"/>
    </row>
    <row r="27" spans="1:6" ht="36" customHeight="1">
      <c r="A27" s="480" t="s">
        <v>130</v>
      </c>
      <c r="B27" s="480"/>
      <c r="C27" s="482" t="s">
        <v>775</v>
      </c>
      <c r="D27" s="467"/>
      <c r="E27" s="467"/>
      <c r="F27" s="467"/>
    </row>
    <row r="28" spans="1:6" ht="36" customHeight="1">
      <c r="A28" s="464" t="s">
        <v>759</v>
      </c>
      <c r="B28" s="464"/>
      <c r="C28" s="482"/>
      <c r="D28" s="467"/>
      <c r="E28" s="467"/>
      <c r="F28" s="467"/>
    </row>
    <row r="29" spans="1:6" ht="36" customHeight="1">
      <c r="A29" s="464" t="s">
        <v>131</v>
      </c>
      <c r="B29" s="464"/>
      <c r="C29" s="482"/>
      <c r="D29" s="467"/>
      <c r="E29" s="467"/>
      <c r="F29" s="467"/>
    </row>
    <row r="30" spans="1:6" ht="9" customHeight="1">
      <c r="A30" s="451"/>
      <c r="B30" s="451"/>
      <c r="C30" s="451"/>
      <c r="D30" s="451"/>
      <c r="E30" s="451"/>
      <c r="F30" s="451"/>
    </row>
    <row r="31" spans="1:6" ht="36" customHeight="1">
      <c r="A31" s="464" t="s">
        <v>132</v>
      </c>
      <c r="B31" s="464"/>
      <c r="C31" s="482" t="s">
        <v>780</v>
      </c>
      <c r="D31" s="467"/>
      <c r="E31" s="467"/>
      <c r="F31" s="467"/>
    </row>
    <row r="32" spans="1:6" ht="36" customHeight="1">
      <c r="A32" s="464" t="s">
        <v>759</v>
      </c>
      <c r="B32" s="464"/>
      <c r="C32" s="482"/>
      <c r="D32" s="467"/>
      <c r="E32" s="467"/>
      <c r="F32" s="467"/>
    </row>
    <row r="33" spans="1:6" ht="36" customHeight="1">
      <c r="A33" s="464" t="s">
        <v>131</v>
      </c>
      <c r="B33" s="464"/>
      <c r="C33" s="482"/>
      <c r="D33" s="467"/>
      <c r="E33" s="467"/>
      <c r="F33" s="467"/>
    </row>
    <row r="34" spans="1:6" ht="18" customHeight="1">
      <c r="A34" s="501"/>
      <c r="B34" s="502"/>
      <c r="C34" s="502"/>
      <c r="D34" s="502"/>
      <c r="E34" s="502"/>
      <c r="F34" s="503"/>
    </row>
    <row r="35" spans="1:6" ht="12" customHeight="1">
      <c r="A35" s="464" t="s">
        <v>133</v>
      </c>
      <c r="B35" s="510"/>
      <c r="C35" s="495"/>
      <c r="D35" s="495"/>
      <c r="E35" s="495"/>
      <c r="F35" s="496"/>
    </row>
    <row r="36" spans="1:6" ht="30.75" customHeight="1">
      <c r="A36" s="464"/>
      <c r="B36" s="510"/>
      <c r="C36" s="495"/>
      <c r="D36" s="495"/>
      <c r="E36" s="495"/>
      <c r="F36" s="496"/>
    </row>
    <row r="37" spans="1:6" ht="30" customHeight="1">
      <c r="A37" s="480" t="s">
        <v>134</v>
      </c>
      <c r="B37" s="481"/>
      <c r="C37" s="509"/>
      <c r="D37" s="509"/>
      <c r="E37" s="509"/>
      <c r="F37" s="467"/>
    </row>
    <row r="38" spans="1:6" ht="12" customHeight="1">
      <c r="A38" s="480"/>
      <c r="B38" s="481"/>
      <c r="C38" s="509"/>
      <c r="D38" s="509"/>
      <c r="E38" s="509"/>
      <c r="F38" s="467"/>
    </row>
    <row r="39" spans="1:6" ht="30" customHeight="1">
      <c r="A39" s="464" t="s">
        <v>135</v>
      </c>
      <c r="B39" s="510"/>
      <c r="C39" s="509"/>
      <c r="D39" s="509"/>
      <c r="E39" s="509"/>
      <c r="F39" s="467"/>
    </row>
    <row r="40" spans="1:6" ht="12" customHeight="1">
      <c r="A40" s="464"/>
      <c r="B40" s="510"/>
      <c r="C40" s="509"/>
      <c r="D40" s="509"/>
      <c r="E40" s="509"/>
      <c r="F40" s="467"/>
    </row>
    <row r="41" spans="1:6" ht="15">
      <c r="A41" s="479" t="s">
        <v>136</v>
      </c>
      <c r="B41" s="479"/>
      <c r="C41" s="91" t="s">
        <v>137</v>
      </c>
      <c r="D41" s="92" t="b">
        <v>1</v>
      </c>
      <c r="E41" s="511"/>
      <c r="F41" s="472"/>
    </row>
    <row r="42" spans="1:6" ht="15">
      <c r="A42" s="479"/>
      <c r="B42" s="479"/>
      <c r="C42" s="93" t="s">
        <v>138</v>
      </c>
      <c r="D42" s="92" t="b">
        <v>1</v>
      </c>
      <c r="E42" s="511"/>
      <c r="F42" s="472"/>
    </row>
    <row r="43" spans="1:6" ht="12" customHeight="1">
      <c r="A43" s="448"/>
      <c r="B43" s="448"/>
      <c r="C43" s="448"/>
      <c r="D43" s="448"/>
      <c r="E43" s="448"/>
      <c r="F43" s="448"/>
    </row>
    <row r="44" spans="1:6" ht="6" customHeight="1">
      <c r="A44" s="478"/>
      <c r="B44" s="478"/>
      <c r="C44" s="478"/>
      <c r="D44" s="478"/>
      <c r="E44" s="478"/>
      <c r="F44" s="478"/>
    </row>
    <row r="45" spans="1:6" ht="15" customHeight="1">
      <c r="A45" s="449" t="s">
        <v>139</v>
      </c>
      <c r="B45" s="449"/>
      <c r="C45" s="449"/>
      <c r="D45" s="449"/>
      <c r="E45" s="449"/>
      <c r="F45" s="449"/>
    </row>
    <row r="46" spans="1:6" ht="12" customHeight="1">
      <c r="A46" s="450" t="s">
        <v>140</v>
      </c>
      <c r="B46" s="450"/>
      <c r="C46" s="450"/>
      <c r="D46" s="450"/>
      <c r="E46" s="450"/>
      <c r="F46" s="450"/>
    </row>
    <row r="47" spans="1:6" ht="12" customHeight="1">
      <c r="A47" s="460" t="s">
        <v>141</v>
      </c>
      <c r="B47" s="460"/>
      <c r="C47" s="460"/>
      <c r="D47" s="460"/>
      <c r="E47" s="460"/>
      <c r="F47" s="460"/>
    </row>
    <row r="48" spans="1:6" ht="12" customHeight="1">
      <c r="A48" s="460" t="str">
        <f>IF(A55="Licence radio-amateur**","** Cochez cette case si vous envisagez l'utilisation d'une fréquence nécssitant une licence radio-amateur","")</f>
        <v>** Cochez cette case si vous envisagez l'utilisation d'une fréquence nécssitant une licence radio-amateur</v>
      </c>
      <c r="B48" s="460"/>
      <c r="C48" s="460"/>
      <c r="D48" s="460"/>
      <c r="E48" s="460"/>
      <c r="F48" s="460"/>
    </row>
    <row r="49" spans="1:6" ht="12" customHeight="1">
      <c r="A49" s="451"/>
      <c r="B49" s="451"/>
      <c r="C49" s="451"/>
      <c r="D49" s="451"/>
      <c r="E49" s="451"/>
      <c r="F49" s="451"/>
    </row>
    <row r="50" spans="1:6" ht="12">
      <c r="A50" s="444" t="s">
        <v>142</v>
      </c>
      <c r="B50" s="444"/>
      <c r="C50" s="87" t="s">
        <v>157</v>
      </c>
      <c r="D50" s="475"/>
      <c r="E50" s="463"/>
      <c r="F50" s="463"/>
    </row>
    <row r="51" spans="1:6" ht="12" customHeight="1">
      <c r="A51" s="451"/>
      <c r="B51" s="451"/>
      <c r="C51" s="451"/>
      <c r="D51" s="451"/>
      <c r="E51" s="451"/>
      <c r="F51" s="451"/>
    </row>
    <row r="52" spans="1:6" ht="12">
      <c r="A52" s="474" t="str">
        <f>IF(C50="Autre (précisez)","Précisez la fréquence utilisée :","")</f>
        <v>Précisez la fréquence utilisée :</v>
      </c>
      <c r="B52" s="474"/>
      <c r="C52" s="475" t="s">
        <v>776</v>
      </c>
      <c r="D52" s="463"/>
      <c r="E52" s="463"/>
      <c r="F52" s="463"/>
    </row>
    <row r="53" spans="1:6" ht="12">
      <c r="A53" s="474" t="str">
        <f>IF(C50="Autre (précisez)","Précisez la puissance délivrée :","")</f>
        <v>Précisez la puissance délivrée :</v>
      </c>
      <c r="B53" s="474"/>
      <c r="C53" s="475" t="s">
        <v>777</v>
      </c>
      <c r="D53" s="463"/>
      <c r="E53" s="463"/>
      <c r="F53" s="463"/>
    </row>
    <row r="54" spans="1:6" ht="12" customHeight="1">
      <c r="A54" s="451"/>
      <c r="B54" s="451"/>
      <c r="C54" s="451"/>
      <c r="D54" s="451"/>
      <c r="E54" s="451"/>
      <c r="F54" s="451"/>
    </row>
    <row r="55" spans="1:6" ht="15" customHeight="1">
      <c r="A55" s="476" t="s">
        <v>143</v>
      </c>
      <c r="B55" s="476"/>
      <c r="C55" s="476"/>
      <c r="D55" s="94" t="b">
        <v>0</v>
      </c>
      <c r="E55" s="477"/>
      <c r="F55" s="477"/>
    </row>
    <row r="56" spans="1:6" ht="12" customHeight="1">
      <c r="A56" s="451"/>
      <c r="B56" s="451"/>
      <c r="C56" s="451"/>
      <c r="D56" s="451"/>
      <c r="E56" s="451"/>
      <c r="F56" s="451"/>
    </row>
    <row r="57" spans="1:6" ht="15" customHeight="1">
      <c r="A57" s="444" t="s">
        <v>144</v>
      </c>
      <c r="B57" s="444"/>
      <c r="C57" s="95" t="s">
        <v>707</v>
      </c>
      <c r="D57" s="472"/>
      <c r="E57" s="472"/>
      <c r="F57" s="472"/>
    </row>
    <row r="58" spans="1:6" ht="12">
      <c r="A58" s="457" t="str">
        <f>IF(C57="Numérique","Décrivez la trame :",IF(C57="Analogique - IRIG","Indiquez les canaux IRIG :",""))</f>
        <v>Décrivez la trame :</v>
      </c>
      <c r="B58" s="457"/>
      <c r="C58" s="458"/>
      <c r="D58" s="458"/>
      <c r="E58" s="458"/>
      <c r="F58" s="458"/>
    </row>
    <row r="59" spans="1:6" ht="15" customHeight="1">
      <c r="A59" s="457"/>
      <c r="B59" s="457"/>
      <c r="C59" s="458"/>
      <c r="D59" s="458"/>
      <c r="E59" s="458"/>
      <c r="F59" s="458"/>
    </row>
    <row r="60" spans="1:6" ht="15" customHeight="1">
      <c r="A60" s="457"/>
      <c r="B60" s="457"/>
      <c r="C60" s="458"/>
      <c r="D60" s="458"/>
      <c r="E60" s="458"/>
      <c r="F60" s="458"/>
    </row>
    <row r="61" spans="1:6" ht="30" customHeight="1">
      <c r="A61" s="464" t="s">
        <v>145</v>
      </c>
      <c r="B61" s="464"/>
      <c r="C61" s="96" t="s">
        <v>253</v>
      </c>
      <c r="D61" s="473"/>
      <c r="E61" s="473"/>
      <c r="F61" s="473"/>
    </row>
    <row r="62" spans="1:6" ht="12" customHeight="1">
      <c r="A62" s="451"/>
      <c r="B62" s="451"/>
      <c r="C62" s="451"/>
      <c r="D62" s="451"/>
      <c r="E62" s="451"/>
      <c r="F62" s="451"/>
    </row>
    <row r="63" spans="1:6" ht="30" customHeight="1">
      <c r="A63" s="464" t="s">
        <v>146</v>
      </c>
      <c r="B63" s="464"/>
      <c r="C63" s="96" t="s">
        <v>253</v>
      </c>
      <c r="D63" s="472"/>
      <c r="E63" s="472"/>
      <c r="F63" s="472"/>
    </row>
    <row r="64" spans="1:6" s="97" customFormat="1" ht="30" customHeight="1">
      <c r="A64" s="469" t="str">
        <f>IF(C63="Oui","Précisez rôle(s), fréquence(s) et puissance(s) : ","")</f>
        <v>Précisez rôle(s), fréquence(s) et puissance(s) : </v>
      </c>
      <c r="B64" s="469"/>
      <c r="C64" s="470" t="s">
        <v>778</v>
      </c>
      <c r="D64" s="458"/>
      <c r="E64" s="458"/>
      <c r="F64" s="458"/>
    </row>
    <row r="65" spans="1:6" ht="12" customHeight="1">
      <c r="A65" s="447"/>
      <c r="B65" s="447"/>
      <c r="C65" s="447"/>
      <c r="D65" s="447"/>
      <c r="E65" s="447"/>
      <c r="F65" s="447"/>
    </row>
    <row r="66" spans="1:6" ht="15" customHeight="1">
      <c r="A66" s="449" t="s">
        <v>147</v>
      </c>
      <c r="B66" s="449"/>
      <c r="C66" s="449"/>
      <c r="D66" s="449"/>
      <c r="E66" s="449"/>
      <c r="F66" s="449"/>
    </row>
    <row r="67" spans="1:6" ht="12" customHeight="1">
      <c r="A67" s="448"/>
      <c r="B67" s="448"/>
      <c r="C67" s="448"/>
      <c r="D67" s="448"/>
      <c r="E67" s="448"/>
      <c r="F67" s="448"/>
    </row>
    <row r="68" spans="1:6" ht="27.75" customHeight="1">
      <c r="A68" s="471" t="s">
        <v>148</v>
      </c>
      <c r="B68" s="471"/>
      <c r="C68" s="96" t="s">
        <v>689</v>
      </c>
      <c r="D68" s="465"/>
      <c r="E68" s="465"/>
      <c r="F68" s="465"/>
    </row>
    <row r="69" spans="1:6" ht="12" customHeight="1">
      <c r="A69" s="451"/>
      <c r="B69" s="451"/>
      <c r="C69" s="451"/>
      <c r="D69" s="451"/>
      <c r="E69" s="451"/>
      <c r="F69" s="451"/>
    </row>
    <row r="70" spans="1:6" ht="24" customHeight="1">
      <c r="A70" s="464" t="s">
        <v>149</v>
      </c>
      <c r="B70" s="464"/>
      <c r="C70" s="96" t="s">
        <v>690</v>
      </c>
      <c r="D70" s="465"/>
      <c r="E70" s="465"/>
      <c r="F70" s="465"/>
    </row>
    <row r="71" spans="1:6" ht="12" customHeight="1">
      <c r="A71" s="451"/>
      <c r="B71" s="451"/>
      <c r="C71" s="451"/>
      <c r="D71" s="451"/>
      <c r="E71" s="451"/>
      <c r="F71" s="451"/>
    </row>
    <row r="72" spans="1:6" ht="15" customHeight="1">
      <c r="A72" s="466" t="s">
        <v>150</v>
      </c>
      <c r="B72" s="466"/>
      <c r="C72" s="93" t="s">
        <v>151</v>
      </c>
      <c r="D72" s="94" t="b">
        <v>1</v>
      </c>
      <c r="E72" s="93" t="s">
        <v>152</v>
      </c>
      <c r="F72" s="98" t="b">
        <v>0</v>
      </c>
    </row>
    <row r="73" spans="1:6" ht="15">
      <c r="A73" s="466"/>
      <c r="B73" s="466"/>
      <c r="C73" s="93" t="s">
        <v>153</v>
      </c>
      <c r="D73" s="94" t="b">
        <v>1</v>
      </c>
      <c r="E73" s="93" t="s">
        <v>154</v>
      </c>
      <c r="F73" s="98" t="b">
        <v>0</v>
      </c>
    </row>
    <row r="74" spans="1:6" ht="15" customHeight="1">
      <c r="A74" s="466"/>
      <c r="B74" s="466"/>
      <c r="C74" s="93" t="s">
        <v>155</v>
      </c>
      <c r="D74" s="94" t="b">
        <v>1</v>
      </c>
      <c r="E74" s="93" t="s">
        <v>156</v>
      </c>
      <c r="F74" s="99" t="b">
        <v>0</v>
      </c>
    </row>
    <row r="75" spans="1:6" ht="30" customHeight="1">
      <c r="A75" s="466"/>
      <c r="B75" s="466"/>
      <c r="C75" s="100" t="s">
        <v>157</v>
      </c>
      <c r="D75" s="101" t="b">
        <v>0</v>
      </c>
      <c r="E75" s="467"/>
      <c r="F75" s="467"/>
    </row>
    <row r="76" spans="1:6" ht="12" customHeight="1">
      <c r="A76" s="468"/>
      <c r="B76" s="468"/>
      <c r="C76" s="468"/>
      <c r="D76" s="468"/>
      <c r="E76" s="468"/>
      <c r="F76" s="468"/>
    </row>
    <row r="77" spans="1:6" ht="6" customHeight="1">
      <c r="A77" s="448"/>
      <c r="B77" s="448"/>
      <c r="C77" s="448"/>
      <c r="D77" s="448"/>
      <c r="E77" s="448"/>
      <c r="F77" s="448"/>
    </row>
    <row r="78" spans="1:6" ht="15" customHeight="1">
      <c r="A78" s="449" t="s">
        <v>158</v>
      </c>
      <c r="B78" s="449"/>
      <c r="C78" s="449"/>
      <c r="D78" s="449"/>
      <c r="E78" s="449"/>
      <c r="F78" s="449"/>
    </row>
    <row r="79" spans="1:6" ht="12" customHeight="1">
      <c r="A79" s="450" t="s">
        <v>159</v>
      </c>
      <c r="B79" s="450"/>
      <c r="C79" s="450"/>
      <c r="D79" s="450"/>
      <c r="E79" s="450"/>
      <c r="F79" s="450"/>
    </row>
    <row r="80" spans="1:6" ht="12" customHeight="1">
      <c r="A80" s="451"/>
      <c r="B80" s="451"/>
      <c r="C80" s="451"/>
      <c r="D80" s="451"/>
      <c r="E80" s="451"/>
      <c r="F80" s="451"/>
    </row>
    <row r="81" spans="1:6" ht="15" customHeight="1">
      <c r="A81" s="444" t="s">
        <v>160</v>
      </c>
      <c r="B81" s="444"/>
      <c r="C81" s="444"/>
      <c r="D81" s="463">
        <v>4</v>
      </c>
      <c r="E81" s="463"/>
      <c r="F81" s="463"/>
    </row>
    <row r="82" spans="1:6" ht="12" customHeight="1">
      <c r="A82" s="451"/>
      <c r="B82" s="451"/>
      <c r="C82" s="451"/>
      <c r="D82" s="451"/>
      <c r="E82" s="451"/>
      <c r="F82" s="451"/>
    </row>
    <row r="83" spans="1:6" ht="12">
      <c r="A83" s="444" t="s">
        <v>161</v>
      </c>
      <c r="B83" s="444"/>
      <c r="C83" s="444"/>
      <c r="D83" s="458" t="s">
        <v>691</v>
      </c>
      <c r="E83" s="458"/>
      <c r="F83" s="458"/>
    </row>
    <row r="84" spans="1:6" ht="12" customHeight="1">
      <c r="A84" s="447"/>
      <c r="B84" s="447"/>
      <c r="C84" s="447"/>
      <c r="D84" s="447"/>
      <c r="E84" s="447"/>
      <c r="F84" s="447"/>
    </row>
    <row r="85" spans="1:6" ht="6" customHeight="1">
      <c r="A85" s="448"/>
      <c r="B85" s="448"/>
      <c r="C85" s="448"/>
      <c r="D85" s="448"/>
      <c r="E85" s="448"/>
      <c r="F85" s="448"/>
    </row>
    <row r="86" spans="1:6" ht="15" customHeight="1">
      <c r="A86" s="449" t="s">
        <v>162</v>
      </c>
      <c r="B86" s="449"/>
      <c r="C86" s="449"/>
      <c r="D86" s="449"/>
      <c r="E86" s="449"/>
      <c r="F86" s="449"/>
    </row>
    <row r="87" spans="1:6" ht="12" customHeight="1">
      <c r="A87" s="450" t="s">
        <v>163</v>
      </c>
      <c r="B87" s="450"/>
      <c r="C87" s="450"/>
      <c r="D87" s="450"/>
      <c r="E87" s="450"/>
      <c r="F87" s="450"/>
    </row>
    <row r="88" spans="1:6" ht="12" customHeight="1">
      <c r="A88" s="451"/>
      <c r="B88" s="451"/>
      <c r="C88" s="451"/>
      <c r="D88" s="451"/>
      <c r="E88" s="451"/>
      <c r="F88" s="451"/>
    </row>
    <row r="89" spans="1:6" ht="12">
      <c r="A89" s="444" t="str">
        <f>'3-FicheTechnique'!A107</f>
        <v>Y-a-t-il de l'informatique embarquée ?</v>
      </c>
      <c r="B89" s="444"/>
      <c r="C89" s="102" t="s">
        <v>11</v>
      </c>
      <c r="D89" s="461"/>
      <c r="E89" s="461"/>
      <c r="F89" s="461"/>
    </row>
    <row r="90" spans="1:6" ht="12" customHeight="1">
      <c r="A90" s="451"/>
      <c r="B90" s="451"/>
      <c r="C90" s="451"/>
      <c r="D90" s="451"/>
      <c r="E90" s="451"/>
      <c r="F90" s="451"/>
    </row>
    <row r="91" spans="1:6" ht="15" customHeight="1">
      <c r="A91" s="462">
        <f>IF(C89="Oui","Indiquez le nombre de microcontrolleur(s) :","")</f>
      </c>
      <c r="B91" s="462"/>
      <c r="C91" s="463"/>
      <c r="D91" s="463"/>
      <c r="E91" s="463"/>
      <c r="F91" s="463"/>
    </row>
    <row r="92" spans="1:6" ht="12" customHeight="1">
      <c r="A92" s="451"/>
      <c r="B92" s="451"/>
      <c r="C92" s="451"/>
      <c r="D92" s="451"/>
      <c r="E92" s="451"/>
      <c r="F92" s="451"/>
    </row>
    <row r="93" spans="1:6" ht="15" customHeight="1">
      <c r="A93" s="480">
        <f>IF(C89="Oui","Précisez leur(s) rôle(s) éventuel(s):","")</f>
      </c>
      <c r="B93" s="481"/>
      <c r="C93" s="508"/>
      <c r="D93" s="509"/>
      <c r="E93" s="509"/>
      <c r="F93" s="467"/>
    </row>
    <row r="94" spans="1:6" ht="15" customHeight="1">
      <c r="A94" s="480"/>
      <c r="B94" s="481"/>
      <c r="C94" s="509"/>
      <c r="D94" s="509"/>
      <c r="E94" s="509"/>
      <c r="F94" s="467"/>
    </row>
    <row r="95" spans="1:6" ht="12" customHeight="1">
      <c r="A95" s="447"/>
      <c r="B95" s="447"/>
      <c r="C95" s="447"/>
      <c r="D95" s="447"/>
      <c r="E95" s="447"/>
      <c r="F95" s="447"/>
    </row>
    <row r="96" spans="1:6" ht="6" customHeight="1">
      <c r="A96" s="448"/>
      <c r="B96" s="448"/>
      <c r="C96" s="448"/>
      <c r="D96" s="448"/>
      <c r="E96" s="448"/>
      <c r="F96" s="448"/>
    </row>
    <row r="97" spans="1:6" ht="15" customHeight="1">
      <c r="A97" s="449" t="s">
        <v>164</v>
      </c>
      <c r="B97" s="449"/>
      <c r="C97" s="449"/>
      <c r="D97" s="449"/>
      <c r="E97" s="449"/>
      <c r="F97" s="449"/>
    </row>
    <row r="98" spans="1:6" ht="12" customHeight="1">
      <c r="A98" s="460" t="s">
        <v>165</v>
      </c>
      <c r="B98" s="460"/>
      <c r="C98" s="460"/>
      <c r="D98" s="460"/>
      <c r="E98" s="460"/>
      <c r="F98" s="460"/>
    </row>
    <row r="99" spans="1:6" ht="12" customHeight="1">
      <c r="A99" s="451"/>
      <c r="B99" s="451"/>
      <c r="C99" s="451"/>
      <c r="D99" s="451"/>
      <c r="E99" s="451"/>
      <c r="F99" s="451"/>
    </row>
    <row r="100" spans="1:6" ht="15" customHeight="1">
      <c r="A100" s="444" t="s">
        <v>166</v>
      </c>
      <c r="B100" s="444"/>
      <c r="C100" s="444"/>
      <c r="D100" s="458" t="s">
        <v>703</v>
      </c>
      <c r="E100" s="458"/>
      <c r="F100" s="458"/>
    </row>
    <row r="101" spans="1:6" ht="30" customHeight="1">
      <c r="A101" s="457">
        <f>IF(D100="Oui","Précisez :","")</f>
      </c>
      <c r="B101" s="457"/>
      <c r="C101" s="458"/>
      <c r="D101" s="458"/>
      <c r="E101" s="458"/>
      <c r="F101" s="458"/>
    </row>
    <row r="102" spans="1:6" ht="12" customHeight="1">
      <c r="A102" s="451"/>
      <c r="B102" s="451"/>
      <c r="C102" s="451"/>
      <c r="D102" s="451"/>
      <c r="E102" s="451"/>
      <c r="F102" s="451"/>
    </row>
    <row r="103" spans="1:6" ht="15" customHeight="1">
      <c r="A103" s="444" t="s">
        <v>167</v>
      </c>
      <c r="B103" s="444"/>
      <c r="C103" s="444"/>
      <c r="D103" s="458" t="s">
        <v>703</v>
      </c>
      <c r="E103" s="458"/>
      <c r="F103" s="458"/>
    </row>
    <row r="104" spans="1:6" ht="30" customHeight="1">
      <c r="A104" s="457">
        <f>IF(D103="Oui","Précisez :","")</f>
      </c>
      <c r="B104" s="457"/>
      <c r="C104" s="458"/>
      <c r="D104" s="458"/>
      <c r="E104" s="458"/>
      <c r="F104" s="458"/>
    </row>
    <row r="105" spans="1:6" ht="12" customHeight="1">
      <c r="A105" s="451"/>
      <c r="B105" s="451"/>
      <c r="C105" s="451"/>
      <c r="D105" s="451"/>
      <c r="E105" s="451"/>
      <c r="F105" s="451"/>
    </row>
    <row r="106" spans="1:6" ht="15" customHeight="1">
      <c r="A106" s="444" t="s">
        <v>168</v>
      </c>
      <c r="B106" s="444"/>
      <c r="C106" s="444"/>
      <c r="D106" s="458" t="s">
        <v>703</v>
      </c>
      <c r="E106" s="458"/>
      <c r="F106" s="458"/>
    </row>
    <row r="107" spans="1:6" ht="30" customHeight="1">
      <c r="A107" s="457">
        <f>IF(D106="Oui","Précisez :","")</f>
      </c>
      <c r="B107" s="457"/>
      <c r="C107" s="458"/>
      <c r="D107" s="458"/>
      <c r="E107" s="458"/>
      <c r="F107" s="458"/>
    </row>
    <row r="108" spans="1:6" ht="12" customHeight="1">
      <c r="A108" s="451"/>
      <c r="B108" s="451"/>
      <c r="C108" s="451"/>
      <c r="D108" s="451"/>
      <c r="E108" s="451"/>
      <c r="F108" s="451"/>
    </row>
    <row r="109" spans="1:6" ht="6" customHeight="1">
      <c r="A109" s="459"/>
      <c r="B109" s="459"/>
      <c r="C109" s="459"/>
      <c r="D109" s="459"/>
      <c r="E109" s="459"/>
      <c r="F109" s="459"/>
    </row>
    <row r="110" spans="1:6" ht="15" customHeight="1">
      <c r="A110" s="449" t="s">
        <v>169</v>
      </c>
      <c r="B110" s="449"/>
      <c r="C110" s="449"/>
      <c r="D110" s="449"/>
      <c r="E110" s="449"/>
      <c r="F110" s="449"/>
    </row>
    <row r="111" spans="1:6" ht="12" customHeight="1">
      <c r="A111" s="456"/>
      <c r="B111" s="456"/>
      <c r="C111" s="456"/>
      <c r="D111" s="456"/>
      <c r="E111" s="456"/>
      <c r="F111" s="456"/>
    </row>
    <row r="112" spans="1:8" ht="15" customHeight="1">
      <c r="A112" s="86" t="s">
        <v>33</v>
      </c>
      <c r="B112" s="107" t="str">
        <f>B19</f>
        <v>Orignal (Pro75-3G)</v>
      </c>
      <c r="C112" s="504">
        <f>IF(B112="Autre (précisez)",D19,"")</f>
      </c>
      <c r="D112" s="504"/>
      <c r="E112" s="504"/>
      <c r="F112" s="505"/>
      <c r="H112" s="104"/>
    </row>
    <row r="113" spans="1:6" ht="15" customHeight="1">
      <c r="A113" s="86" t="s">
        <v>34</v>
      </c>
      <c r="B113" s="107" t="str">
        <f>C50</f>
        <v>Autre (précisez)</v>
      </c>
      <c r="C113" s="506">
        <f>IF(B113="Autre (précisez)",D50,"")</f>
        <v>0</v>
      </c>
      <c r="D113" s="506"/>
      <c r="E113" s="506"/>
      <c r="F113" s="507"/>
    </row>
    <row r="114" spans="1:6" ht="15" customHeight="1">
      <c r="A114" s="86" t="s">
        <v>170</v>
      </c>
      <c r="B114" s="446">
        <f>IF(B17="Ballon Expérimental","Chaine de vol",IF(F73,"Inflammateur",""))</f>
      </c>
      <c r="C114" s="446"/>
      <c r="D114" s="446"/>
      <c r="E114" s="446"/>
      <c r="F114" s="446"/>
    </row>
    <row r="115" spans="1:6" ht="12" customHeight="1">
      <c r="A115" s="447"/>
      <c r="B115" s="447"/>
      <c r="C115" s="447"/>
      <c r="D115" s="447"/>
      <c r="E115" s="447"/>
      <c r="F115" s="447"/>
    </row>
    <row r="116" spans="1:6" ht="6" customHeight="1">
      <c r="A116" s="448"/>
      <c r="B116" s="448"/>
      <c r="C116" s="448"/>
      <c r="D116" s="448"/>
      <c r="E116" s="448"/>
      <c r="F116" s="448"/>
    </row>
    <row r="117" spans="1:6" ht="15" customHeight="1">
      <c r="A117" s="449" t="s">
        <v>171</v>
      </c>
      <c r="B117" s="449"/>
      <c r="C117" s="449"/>
      <c r="D117" s="449"/>
      <c r="E117" s="449"/>
      <c r="F117" s="449"/>
    </row>
    <row r="118" spans="1:6" ht="12" customHeight="1">
      <c r="A118" s="450" t="s">
        <v>172</v>
      </c>
      <c r="B118" s="450"/>
      <c r="C118" s="450"/>
      <c r="D118" s="450"/>
      <c r="E118" s="450"/>
      <c r="F118" s="450"/>
    </row>
    <row r="119" spans="1:6" ht="12" customHeight="1">
      <c r="A119" s="451"/>
      <c r="B119" s="451"/>
      <c r="C119" s="451"/>
      <c r="D119" s="451"/>
      <c r="E119" s="451"/>
      <c r="F119" s="451"/>
    </row>
    <row r="120" spans="1:6" ht="15" customHeight="1">
      <c r="A120" s="452" t="str">
        <f>IF(D41,"N'oubiez pas de prévoir un système évitant l'effacement intempestif des données après le vol","")</f>
        <v>N'oubiez pas de prévoir un système évitant l'effacement intempestif des données après le vol</v>
      </c>
      <c r="B120" s="452"/>
      <c r="C120" s="452"/>
      <c r="D120" s="452"/>
      <c r="E120" s="452"/>
      <c r="F120" s="452"/>
    </row>
    <row r="121" spans="1:6" ht="15" customHeight="1">
      <c r="A121" s="453"/>
      <c r="B121" s="454"/>
      <c r="C121" s="454"/>
      <c r="D121" s="454"/>
      <c r="E121" s="454"/>
      <c r="F121" s="455"/>
    </row>
    <row r="122" spans="1:6" ht="15" customHeight="1">
      <c r="A122" s="453"/>
      <c r="B122" s="454"/>
      <c r="C122" s="454"/>
      <c r="D122" s="454"/>
      <c r="E122" s="454"/>
      <c r="F122" s="455"/>
    </row>
    <row r="123" spans="1:6" ht="15" customHeight="1">
      <c r="A123" s="453"/>
      <c r="B123" s="454"/>
      <c r="C123" s="454"/>
      <c r="D123" s="454"/>
      <c r="E123" s="454"/>
      <c r="F123" s="455"/>
    </row>
    <row r="124" spans="1:6" ht="15" customHeight="1">
      <c r="A124" s="453"/>
      <c r="B124" s="454"/>
      <c r="C124" s="454"/>
      <c r="D124" s="454"/>
      <c r="E124" s="454"/>
      <c r="F124" s="455"/>
    </row>
    <row r="125" spans="1:6" ht="15" customHeight="1">
      <c r="A125" s="453"/>
      <c r="B125" s="454"/>
      <c r="C125" s="454"/>
      <c r="D125" s="454"/>
      <c r="E125" s="454"/>
      <c r="F125" s="455"/>
    </row>
    <row r="126" spans="1:6" ht="12" customHeight="1">
      <c r="A126" s="443"/>
      <c r="B126" s="443"/>
      <c r="C126" s="443"/>
      <c r="D126" s="443"/>
      <c r="E126" s="443"/>
      <c r="F126" s="443"/>
    </row>
    <row r="127" spans="1:6" ht="15" customHeight="1">
      <c r="A127" s="444" t="s">
        <v>173</v>
      </c>
      <c r="B127" s="444"/>
      <c r="C127" s="444"/>
      <c r="D127" s="444"/>
      <c r="E127" s="445" t="s">
        <v>703</v>
      </c>
      <c r="F127" s="442"/>
    </row>
    <row r="128" spans="1:6" ht="15" customHeight="1">
      <c r="A128" s="444" t="s">
        <v>174</v>
      </c>
      <c r="B128" s="444"/>
      <c r="C128" s="444"/>
      <c r="D128" s="444"/>
      <c r="E128" s="442" t="s">
        <v>703</v>
      </c>
      <c r="F128" s="442"/>
    </row>
    <row r="129" spans="1:6" ht="15.75" customHeight="1">
      <c r="A129" s="441" t="s">
        <v>175</v>
      </c>
      <c r="B129" s="441"/>
      <c r="C129" s="441"/>
      <c r="D129" s="441"/>
      <c r="E129" s="442" t="s">
        <v>703</v>
      </c>
      <c r="F129" s="442"/>
    </row>
  </sheetData>
  <sheetProtection password="DD05" sheet="1" objects="1" scenarios="1"/>
  <mergeCells count="152">
    <mergeCell ref="A34:F34"/>
    <mergeCell ref="C112:F112"/>
    <mergeCell ref="C113:F113"/>
    <mergeCell ref="C93:F94"/>
    <mergeCell ref="A93:B94"/>
    <mergeCell ref="C37:F38"/>
    <mergeCell ref="A39:B40"/>
    <mergeCell ref="C39:F40"/>
    <mergeCell ref="E41:F42"/>
    <mergeCell ref="A35:B36"/>
    <mergeCell ref="A7:F7"/>
    <mergeCell ref="A8:F8"/>
    <mergeCell ref="B13:F13"/>
    <mergeCell ref="A14:F14"/>
    <mergeCell ref="A15:F15"/>
    <mergeCell ref="A16:F16"/>
    <mergeCell ref="A9:F9"/>
    <mergeCell ref="A10:F10"/>
    <mergeCell ref="B11:F11"/>
    <mergeCell ref="A12:F12"/>
    <mergeCell ref="A20:F20"/>
    <mergeCell ref="A1:F1"/>
    <mergeCell ref="A2:F2"/>
    <mergeCell ref="A3:F3"/>
    <mergeCell ref="A4:F4"/>
    <mergeCell ref="A5:F5"/>
    <mergeCell ref="A6:F6"/>
    <mergeCell ref="A29:B29"/>
    <mergeCell ref="C29:F29"/>
    <mergeCell ref="A22:F22"/>
    <mergeCell ref="A23:F23"/>
    <mergeCell ref="A24:F24"/>
    <mergeCell ref="B17:C17"/>
    <mergeCell ref="D17:F17"/>
    <mergeCell ref="A18:F18"/>
    <mergeCell ref="B19:C19"/>
    <mergeCell ref="D19:F19"/>
    <mergeCell ref="A25:F25"/>
    <mergeCell ref="A26:F26"/>
    <mergeCell ref="A27:B27"/>
    <mergeCell ref="C27:F27"/>
    <mergeCell ref="A28:B28"/>
    <mergeCell ref="C28:F28"/>
    <mergeCell ref="A47:F47"/>
    <mergeCell ref="A48:F48"/>
    <mergeCell ref="A33:B33"/>
    <mergeCell ref="C33:F33"/>
    <mergeCell ref="A30:F30"/>
    <mergeCell ref="A31:B31"/>
    <mergeCell ref="C31:F31"/>
    <mergeCell ref="A32:B32"/>
    <mergeCell ref="C32:F32"/>
    <mergeCell ref="C35:F36"/>
    <mergeCell ref="A43:F43"/>
    <mergeCell ref="A44:F44"/>
    <mergeCell ref="A45:F45"/>
    <mergeCell ref="A46:F46"/>
    <mergeCell ref="A41:B42"/>
    <mergeCell ref="A37:B38"/>
    <mergeCell ref="A55:C55"/>
    <mergeCell ref="E55:F55"/>
    <mergeCell ref="A56:F56"/>
    <mergeCell ref="A49:F49"/>
    <mergeCell ref="A50:B50"/>
    <mergeCell ref="D50:F50"/>
    <mergeCell ref="A51:F51"/>
    <mergeCell ref="A52:B52"/>
    <mergeCell ref="C52:F52"/>
    <mergeCell ref="A53:B53"/>
    <mergeCell ref="C53:F53"/>
    <mergeCell ref="A54:F54"/>
    <mergeCell ref="A69:F69"/>
    <mergeCell ref="A57:B57"/>
    <mergeCell ref="D57:F57"/>
    <mergeCell ref="A58:B60"/>
    <mergeCell ref="C58:F60"/>
    <mergeCell ref="A61:B61"/>
    <mergeCell ref="D61:F61"/>
    <mergeCell ref="A62:F62"/>
    <mergeCell ref="A63:B63"/>
    <mergeCell ref="D63:F63"/>
    <mergeCell ref="A64:B64"/>
    <mergeCell ref="C64:F64"/>
    <mergeCell ref="A65:F65"/>
    <mergeCell ref="A66:F66"/>
    <mergeCell ref="A67:F67"/>
    <mergeCell ref="A68:B68"/>
    <mergeCell ref="D68:F68"/>
    <mergeCell ref="A85:F85"/>
    <mergeCell ref="A70:B70"/>
    <mergeCell ref="D70:F70"/>
    <mergeCell ref="A71:F71"/>
    <mergeCell ref="A72:B75"/>
    <mergeCell ref="E75:F75"/>
    <mergeCell ref="A76:F76"/>
    <mergeCell ref="A77:F77"/>
    <mergeCell ref="A78:F78"/>
    <mergeCell ref="A79:F79"/>
    <mergeCell ref="A91:B91"/>
    <mergeCell ref="C91:F91"/>
    <mergeCell ref="A92:F92"/>
    <mergeCell ref="A80:F80"/>
    <mergeCell ref="A81:C81"/>
    <mergeCell ref="D81:F81"/>
    <mergeCell ref="A82:F82"/>
    <mergeCell ref="A83:C83"/>
    <mergeCell ref="D83:F83"/>
    <mergeCell ref="A84:F84"/>
    <mergeCell ref="A86:F86"/>
    <mergeCell ref="A87:F87"/>
    <mergeCell ref="A88:F88"/>
    <mergeCell ref="A89:B89"/>
    <mergeCell ref="D89:F89"/>
    <mergeCell ref="A90:F90"/>
    <mergeCell ref="A95:F95"/>
    <mergeCell ref="A96:F96"/>
    <mergeCell ref="A104:B104"/>
    <mergeCell ref="C104:F104"/>
    <mergeCell ref="A97:F97"/>
    <mergeCell ref="A98:F98"/>
    <mergeCell ref="A99:F99"/>
    <mergeCell ref="A100:C100"/>
    <mergeCell ref="D100:F100"/>
    <mergeCell ref="A105:F105"/>
    <mergeCell ref="A106:C106"/>
    <mergeCell ref="D106:F106"/>
    <mergeCell ref="A101:B101"/>
    <mergeCell ref="C101:F101"/>
    <mergeCell ref="A102:F102"/>
    <mergeCell ref="A103:C103"/>
    <mergeCell ref="D103:F103"/>
    <mergeCell ref="A120:F120"/>
    <mergeCell ref="A121:F125"/>
    <mergeCell ref="A110:F110"/>
    <mergeCell ref="A111:F111"/>
    <mergeCell ref="A107:B107"/>
    <mergeCell ref="C107:F107"/>
    <mergeCell ref="A108:F108"/>
    <mergeCell ref="A109:F109"/>
    <mergeCell ref="B114:F114"/>
    <mergeCell ref="A115:F115"/>
    <mergeCell ref="A116:F116"/>
    <mergeCell ref="A117:F117"/>
    <mergeCell ref="A118:F118"/>
    <mergeCell ref="A119:F119"/>
    <mergeCell ref="A129:D129"/>
    <mergeCell ref="E129:F129"/>
    <mergeCell ref="A126:F126"/>
    <mergeCell ref="A127:D127"/>
    <mergeCell ref="E127:F127"/>
    <mergeCell ref="A128:D128"/>
    <mergeCell ref="E128:F128"/>
  </mergeCells>
  <conditionalFormatting sqref="B17:C17 C50:F50 C57 C61 C63 C68 C70 C89:D89 D83 D100 D103 D106 E127:F129">
    <cfRule type="cellIs" priority="4" dxfId="0" operator="equal" stopIfTrue="1">
      <formula>"Sélectionner …"</formula>
    </cfRule>
  </conditionalFormatting>
  <conditionalFormatting sqref="B19:C19">
    <cfRule type="cellIs" priority="5" dxfId="285" operator="equal" stopIfTrue="1">
      <formula>"Sélectionner …"</formula>
    </cfRule>
  </conditionalFormatting>
  <dataValidations count="10">
    <dataValidation type="list" allowBlank="1" showErrorMessage="1" sqref="C57">
      <formula1>TypeTelemesure</formula1>
      <formula2>0</formula2>
    </dataValidation>
    <dataValidation type="list" allowBlank="1" showErrorMessage="1" sqref="I31">
      <formula1>Question</formula1>
      <formula2>0</formula2>
    </dataValidation>
    <dataValidation type="list" allowBlank="1" showErrorMessage="1" sqref="C68">
      <formula1>TypeRalentisseurs</formula1>
      <formula2>0</formula2>
    </dataValidation>
    <dataValidation type="whole" allowBlank="1" showErrorMessage="1" error="Un nombre entier entre 0 et 10 doit être saisi !" sqref="D81">
      <formula1>0</formula1>
      <formula2>10</formula2>
    </dataValidation>
    <dataValidation type="list" allowBlank="1" showErrorMessage="1" sqref="D83:F83">
      <formula1>TypeStructure</formula1>
      <formula2>0</formula2>
    </dataValidation>
    <dataValidation type="list" allowBlank="1" showErrorMessage="1" sqref="C70">
      <formula1>TypeSeparations</formula1>
      <formula2>0</formula2>
    </dataValidation>
    <dataValidation type="list" allowBlank="1" showErrorMessage="1" sqref="C61 E127:F129 D106:F106 D103:F103 D100:F100 C89 C63">
      <formula1>TypeQuestion</formula1>
      <formula2>0</formula2>
    </dataValidation>
    <dataValidation type="list" allowBlank="1" showErrorMessage="1" sqref="B17:C17">
      <formula1>TypeProjets</formula1>
      <formula2>0</formula2>
    </dataValidation>
    <dataValidation type="list" allowBlank="1" showErrorMessage="1" sqref="B19:C19">
      <formula1>TypeMoteurs</formula1>
      <formula2>0</formula2>
    </dataValidation>
    <dataValidation type="list" allowBlank="1" showErrorMessage="1" sqref="C50">
      <formula1>TypeEmetteurs</formula1>
      <formula2>0</formula2>
    </dataValidation>
  </dataValidations>
  <printOptions gridLines="1" horizontalCentered="1"/>
  <pageMargins left="0.7875" right="0.7875" top="0.4722222222222222" bottom="0.4722222222222222" header="0.5118055555555555" footer="0.5118055555555555"/>
  <pageSetup horizontalDpi="300" verticalDpi="300" orientation="portrait" paperSize="9" scale="71"/>
  <rowBreaks count="1" manualBreakCount="1">
    <brk id="65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="85" zoomScaleNormal="85" zoomScaleSheetLayoutView="85" workbookViewId="0" topLeftCell="A106">
      <selection activeCell="A97" sqref="A97:F97"/>
    </sheetView>
  </sheetViews>
  <sheetFormatPr defaultColWidth="11.421875" defaultRowHeight="12.75"/>
  <cols>
    <col min="1" max="1" width="19.421875" style="0" customWidth="1"/>
    <col min="2" max="2" width="20.421875" style="0" customWidth="1"/>
    <col min="3" max="3" width="38.7109375" style="0" customWidth="1"/>
    <col min="4" max="4" width="3.7109375" style="0" customWidth="1"/>
    <col min="5" max="5" width="20.8515625" style="0" customWidth="1"/>
    <col min="6" max="6" width="3.7109375" style="0" customWidth="1"/>
  </cols>
  <sheetData>
    <row r="1" spans="1:6" ht="24" customHeight="1">
      <c r="A1" s="492" t="str">
        <f>ANNEE</f>
        <v>2011-2012</v>
      </c>
      <c r="B1" s="492"/>
      <c r="C1" s="492"/>
      <c r="D1" s="492"/>
      <c r="E1" s="492"/>
      <c r="F1" s="492"/>
    </row>
    <row r="2" spans="1:6" ht="18">
      <c r="A2" s="493" t="s">
        <v>176</v>
      </c>
      <c r="B2" s="493"/>
      <c r="C2" s="493"/>
      <c r="D2" s="493"/>
      <c r="E2" s="493"/>
      <c r="F2" s="493"/>
    </row>
    <row r="3" spans="1:6" ht="12" customHeight="1">
      <c r="A3" s="448"/>
      <c r="B3" s="448"/>
      <c r="C3" s="448"/>
      <c r="D3" s="448"/>
      <c r="E3" s="448"/>
      <c r="F3" s="448"/>
    </row>
    <row r="4" spans="1:6" ht="15">
      <c r="A4" s="494" t="str">
        <f>"To be returned before "&amp;Source!C33</f>
        <v>To be returned before January 27th 2012</v>
      </c>
      <c r="B4" s="494"/>
      <c r="C4" s="494"/>
      <c r="D4" s="494"/>
      <c r="E4" s="494"/>
      <c r="F4" s="494"/>
    </row>
    <row r="5" spans="1:6" ht="12" customHeight="1">
      <c r="A5" s="491"/>
      <c r="B5" s="491"/>
      <c r="C5" s="491"/>
      <c r="D5" s="491"/>
      <c r="E5" s="491"/>
      <c r="F5" s="491"/>
    </row>
    <row r="6" spans="1:6" ht="12">
      <c r="A6" s="497" t="s">
        <v>67</v>
      </c>
      <c r="B6" s="497"/>
      <c r="C6" s="497"/>
      <c r="D6" s="497"/>
      <c r="E6" s="497"/>
      <c r="F6" s="497"/>
    </row>
    <row r="7" spans="1:6" ht="12" customHeight="1">
      <c r="A7" s="498"/>
      <c r="B7" s="498"/>
      <c r="C7" s="498"/>
      <c r="D7" s="498"/>
      <c r="E7" s="498"/>
      <c r="F7" s="498"/>
    </row>
    <row r="8" spans="1:6" ht="12">
      <c r="A8" s="450" t="s">
        <v>177</v>
      </c>
      <c r="B8" s="450"/>
      <c r="C8" s="450"/>
      <c r="D8" s="450"/>
      <c r="E8" s="450"/>
      <c r="F8" s="450"/>
    </row>
    <row r="9" spans="1:6" ht="12">
      <c r="A9" s="450" t="s">
        <v>178</v>
      </c>
      <c r="B9" s="450"/>
      <c r="C9" s="450"/>
      <c r="D9" s="450"/>
      <c r="E9" s="450"/>
      <c r="F9" s="450"/>
    </row>
    <row r="10" spans="1:6" ht="6" customHeight="1">
      <c r="A10" s="488"/>
      <c r="B10" s="488"/>
      <c r="C10" s="488"/>
      <c r="D10" s="488"/>
      <c r="E10" s="488"/>
      <c r="F10" s="488"/>
    </row>
    <row r="11" spans="1:6" ht="15" customHeight="1">
      <c r="A11" s="84" t="s">
        <v>71</v>
      </c>
      <c r="B11" s="489">
        <f>IF('1-Registration'!$B$12="","",'1-Registration'!$B$12)</f>
      </c>
      <c r="C11" s="489"/>
      <c r="D11" s="489"/>
      <c r="E11" s="489"/>
      <c r="F11" s="489"/>
    </row>
    <row r="12" spans="1:6" ht="12" customHeight="1">
      <c r="A12" s="490"/>
      <c r="B12" s="490"/>
      <c r="C12" s="490"/>
      <c r="D12" s="490"/>
      <c r="E12" s="490"/>
      <c r="F12" s="490"/>
    </row>
    <row r="13" spans="1:6" ht="15" customHeight="1">
      <c r="A13" s="85" t="s">
        <v>179</v>
      </c>
      <c r="B13" s="499">
        <f>IF('1-Registration'!$B$18="","",'1-Registration'!$B$18)</f>
      </c>
      <c r="C13" s="499"/>
      <c r="D13" s="499"/>
      <c r="E13" s="499"/>
      <c r="F13" s="499"/>
    </row>
    <row r="14" spans="1:6" ht="6" customHeight="1">
      <c r="A14" s="500"/>
      <c r="B14" s="500"/>
      <c r="C14" s="500"/>
      <c r="D14" s="500"/>
      <c r="E14" s="500"/>
      <c r="F14" s="500"/>
    </row>
    <row r="15" spans="1:6" ht="15" customHeight="1">
      <c r="A15" s="449" t="s">
        <v>180</v>
      </c>
      <c r="B15" s="449"/>
      <c r="C15" s="449"/>
      <c r="D15" s="449"/>
      <c r="E15" s="449"/>
      <c r="F15" s="449"/>
    </row>
    <row r="16" spans="1:6" ht="12" customHeight="1">
      <c r="A16" s="448"/>
      <c r="B16" s="448"/>
      <c r="C16" s="448"/>
      <c r="D16" s="448"/>
      <c r="E16" s="448"/>
      <c r="F16" s="448"/>
    </row>
    <row r="17" spans="1:6" ht="12">
      <c r="A17" s="86" t="s">
        <v>72</v>
      </c>
      <c r="B17" s="483" t="str">
        <f>'1-Registration'!B14</f>
        <v>Select…</v>
      </c>
      <c r="C17" s="483"/>
      <c r="D17" s="484">
        <f>IF(E128="Yes","SPECIAL","")</f>
      </c>
      <c r="E17" s="484"/>
      <c r="F17" s="484"/>
    </row>
    <row r="18" spans="1:6" ht="12" customHeight="1">
      <c r="A18" s="451"/>
      <c r="B18" s="451"/>
      <c r="C18" s="451"/>
      <c r="D18" s="451"/>
      <c r="E18" s="451"/>
      <c r="F18" s="451"/>
    </row>
    <row r="19" spans="1:6" ht="12">
      <c r="A19" s="86" t="s">
        <v>181</v>
      </c>
      <c r="B19" s="483" t="str">
        <f>'1-Registration'!B49</f>
        <v>Select…</v>
      </c>
      <c r="C19" s="483"/>
      <c r="D19" s="472"/>
      <c r="E19" s="472"/>
      <c r="F19" s="472"/>
    </row>
    <row r="20" spans="1:6" ht="12" customHeight="1">
      <c r="A20" s="491"/>
      <c r="B20" s="491"/>
      <c r="C20" s="491"/>
      <c r="D20" s="491"/>
      <c r="E20" s="491"/>
      <c r="F20" s="491"/>
    </row>
    <row r="21" spans="1:6" ht="6" customHeight="1">
      <c r="A21" s="88"/>
      <c r="B21" s="89"/>
      <c r="C21" s="89"/>
      <c r="D21" s="89"/>
      <c r="E21" s="89"/>
      <c r="F21" s="90"/>
    </row>
    <row r="22" spans="1:6" ht="15" customHeight="1">
      <c r="A22" s="449" t="s">
        <v>182</v>
      </c>
      <c r="B22" s="449"/>
      <c r="C22" s="449"/>
      <c r="D22" s="449"/>
      <c r="E22" s="449"/>
      <c r="F22" s="449"/>
    </row>
    <row r="23" spans="1:6" ht="12">
      <c r="A23" s="450" t="s">
        <v>183</v>
      </c>
      <c r="B23" s="450"/>
      <c r="C23" s="450"/>
      <c r="D23" s="450"/>
      <c r="E23" s="450"/>
      <c r="F23" s="450"/>
    </row>
    <row r="24" spans="1:6" ht="12">
      <c r="A24" s="450" t="s">
        <v>184</v>
      </c>
      <c r="B24" s="450"/>
      <c r="C24" s="450"/>
      <c r="D24" s="450"/>
      <c r="E24" s="450"/>
      <c r="F24" s="450"/>
    </row>
    <row r="25" spans="1:6" ht="12" customHeight="1">
      <c r="A25" s="450" t="s">
        <v>185</v>
      </c>
      <c r="B25" s="450"/>
      <c r="C25" s="450"/>
      <c r="D25" s="450"/>
      <c r="E25" s="450"/>
      <c r="F25" s="450"/>
    </row>
    <row r="26" spans="1:6" ht="8.25" customHeight="1">
      <c r="A26" s="448"/>
      <c r="B26" s="448"/>
      <c r="C26" s="448"/>
      <c r="D26" s="448"/>
      <c r="E26" s="448"/>
      <c r="F26" s="448"/>
    </row>
    <row r="27" spans="1:6" ht="36" customHeight="1">
      <c r="A27" s="480" t="s">
        <v>186</v>
      </c>
      <c r="B27" s="480"/>
      <c r="C27" s="467"/>
      <c r="D27" s="467"/>
      <c r="E27" s="467"/>
      <c r="F27" s="467"/>
    </row>
    <row r="28" spans="1:6" ht="36" customHeight="1">
      <c r="A28" s="464" t="s">
        <v>187</v>
      </c>
      <c r="B28" s="464"/>
      <c r="C28" s="467"/>
      <c r="D28" s="467"/>
      <c r="E28" s="467"/>
      <c r="F28" s="467"/>
    </row>
    <row r="29" spans="1:6" ht="36" customHeight="1">
      <c r="A29" s="464" t="s">
        <v>188</v>
      </c>
      <c r="B29" s="464"/>
      <c r="C29" s="467"/>
      <c r="D29" s="467"/>
      <c r="E29" s="467"/>
      <c r="F29" s="467"/>
    </row>
    <row r="30" spans="1:6" ht="8.25" customHeight="1">
      <c r="A30" s="451"/>
      <c r="B30" s="451"/>
      <c r="C30" s="451"/>
      <c r="D30" s="451"/>
      <c r="E30" s="451"/>
      <c r="F30" s="451"/>
    </row>
    <row r="31" spans="1:6" ht="36" customHeight="1">
      <c r="A31" s="464" t="s">
        <v>189</v>
      </c>
      <c r="B31" s="464"/>
      <c r="C31" s="467">
        <f>IF(B17="Minif","Aucune(s)","")</f>
      </c>
      <c r="D31" s="467"/>
      <c r="E31" s="467"/>
      <c r="F31" s="467"/>
    </row>
    <row r="32" spans="1:6" ht="36" customHeight="1">
      <c r="A32" s="464" t="s">
        <v>187</v>
      </c>
      <c r="B32" s="464"/>
      <c r="C32" s="467"/>
      <c r="D32" s="467"/>
      <c r="E32" s="467"/>
      <c r="F32" s="467"/>
    </row>
    <row r="33" spans="1:6" ht="36" customHeight="1">
      <c r="A33" s="464" t="s">
        <v>188</v>
      </c>
      <c r="B33" s="464"/>
      <c r="C33" s="467"/>
      <c r="D33" s="467"/>
      <c r="E33" s="467"/>
      <c r="F33" s="467"/>
    </row>
    <row r="34" spans="1:6" ht="18" customHeight="1">
      <c r="A34" s="353"/>
      <c r="B34" s="356"/>
      <c r="C34" s="355"/>
      <c r="D34" s="355"/>
      <c r="E34" s="355"/>
      <c r="F34" s="352"/>
    </row>
    <row r="35" spans="1:6" ht="12.75" customHeight="1">
      <c r="A35" s="464" t="s">
        <v>190</v>
      </c>
      <c r="B35" s="510"/>
      <c r="C35" s="495"/>
      <c r="D35" s="495"/>
      <c r="E35" s="495"/>
      <c r="F35" s="496"/>
    </row>
    <row r="36" spans="1:6" ht="30.75" customHeight="1">
      <c r="A36" s="464"/>
      <c r="B36" s="510"/>
      <c r="C36" s="495"/>
      <c r="D36" s="495"/>
      <c r="E36" s="495"/>
      <c r="F36" s="496"/>
    </row>
    <row r="37" spans="1:6" ht="30" customHeight="1">
      <c r="A37" s="480" t="s">
        <v>191</v>
      </c>
      <c r="B37" s="481"/>
      <c r="C37" s="509"/>
      <c r="D37" s="509"/>
      <c r="E37" s="509"/>
      <c r="F37" s="467"/>
    </row>
    <row r="38" spans="1:6" ht="12" customHeight="1">
      <c r="A38" s="480"/>
      <c r="B38" s="481"/>
      <c r="C38" s="509"/>
      <c r="D38" s="509"/>
      <c r="E38" s="509"/>
      <c r="F38" s="467"/>
    </row>
    <row r="39" spans="1:6" ht="30" customHeight="1">
      <c r="A39" s="464" t="s">
        <v>192</v>
      </c>
      <c r="B39" s="510"/>
      <c r="C39" s="509"/>
      <c r="D39" s="509"/>
      <c r="E39" s="509"/>
      <c r="F39" s="467"/>
    </row>
    <row r="40" spans="1:6" ht="12" customHeight="1">
      <c r="A40" s="464"/>
      <c r="B40" s="510"/>
      <c r="C40" s="509"/>
      <c r="D40" s="509"/>
      <c r="E40" s="509"/>
      <c r="F40" s="467"/>
    </row>
    <row r="41" spans="1:6" ht="15">
      <c r="A41" s="479" t="s">
        <v>193</v>
      </c>
      <c r="B41" s="479"/>
      <c r="C41" s="91" t="s">
        <v>194</v>
      </c>
      <c r="D41" s="92" t="b">
        <v>0</v>
      </c>
      <c r="E41" s="472"/>
      <c r="F41" s="472"/>
    </row>
    <row r="42" spans="1:6" ht="15">
      <c r="A42" s="479"/>
      <c r="B42" s="479"/>
      <c r="C42" s="93" t="s">
        <v>195</v>
      </c>
      <c r="D42" s="92" t="b">
        <v>0</v>
      </c>
      <c r="E42" s="472"/>
      <c r="F42" s="472"/>
    </row>
    <row r="43" spans="1:6" ht="12" customHeight="1">
      <c r="A43" s="448"/>
      <c r="B43" s="448"/>
      <c r="C43" s="448"/>
      <c r="D43" s="448"/>
      <c r="E43" s="448"/>
      <c r="F43" s="448"/>
    </row>
    <row r="44" spans="1:6" ht="6" customHeight="1">
      <c r="A44" s="478"/>
      <c r="B44" s="478"/>
      <c r="C44" s="478"/>
      <c r="D44" s="478"/>
      <c r="E44" s="478"/>
      <c r="F44" s="478"/>
    </row>
    <row r="45" spans="1:6" ht="15" customHeight="1">
      <c r="A45" s="449" t="s">
        <v>196</v>
      </c>
      <c r="B45" s="449"/>
      <c r="C45" s="449"/>
      <c r="D45" s="449"/>
      <c r="E45" s="449"/>
      <c r="F45" s="449"/>
    </row>
    <row r="46" spans="1:6" ht="12" customHeight="1">
      <c r="A46" s="450" t="s">
        <v>197</v>
      </c>
      <c r="B46" s="450"/>
      <c r="C46" s="450"/>
      <c r="D46" s="450"/>
      <c r="E46" s="450"/>
      <c r="F46" s="450"/>
    </row>
    <row r="47" spans="1:6" ht="12" customHeight="1">
      <c r="A47" s="460" t="s">
        <v>198</v>
      </c>
      <c r="B47" s="460"/>
      <c r="C47" s="460"/>
      <c r="D47" s="460"/>
      <c r="E47" s="460"/>
      <c r="F47" s="460"/>
    </row>
    <row r="48" spans="1:6" ht="12" customHeight="1">
      <c r="A48" s="460" t="str">
        <f>IF(A55="Radio-Amateur Licence**","** Check this box in case if you plan to make use of a frequency requiring a radio-amateur licence","")</f>
        <v>** Check this box in case if you plan to make use of a frequency requiring a radio-amateur licence</v>
      </c>
      <c r="B48" s="460"/>
      <c r="C48" s="460"/>
      <c r="D48" s="460"/>
      <c r="E48" s="460"/>
      <c r="F48" s="460"/>
    </row>
    <row r="49" spans="1:6" ht="12" customHeight="1">
      <c r="A49" s="451"/>
      <c r="B49" s="451"/>
      <c r="C49" s="451"/>
      <c r="D49" s="451"/>
      <c r="E49" s="451"/>
      <c r="F49" s="451"/>
    </row>
    <row r="50" spans="1:6" ht="12">
      <c r="A50" s="444" t="s">
        <v>199</v>
      </c>
      <c r="B50" s="444"/>
      <c r="C50" s="95" t="s">
        <v>73</v>
      </c>
      <c r="D50" s="496">
        <f>IF('1-Déclaration'!C50="","",'1-Déclaration'!C50)</f>
      </c>
      <c r="E50" s="496"/>
      <c r="F50" s="496"/>
    </row>
    <row r="51" spans="1:6" ht="12" customHeight="1">
      <c r="A51" s="451"/>
      <c r="B51" s="451"/>
      <c r="C51" s="451"/>
      <c r="D51" s="451"/>
      <c r="E51" s="451"/>
      <c r="F51" s="451"/>
    </row>
    <row r="52" spans="1:6" ht="12">
      <c r="A52" s="474">
        <f>IF(C50="Other (precise)","Precise the frequency:","")</f>
      </c>
      <c r="B52" s="474"/>
      <c r="C52" s="463"/>
      <c r="D52" s="463"/>
      <c r="E52" s="463"/>
      <c r="F52" s="463"/>
    </row>
    <row r="53" spans="1:6" ht="12">
      <c r="A53" s="474">
        <f>IF(C50="Other (precise)","Precise the output power:","")</f>
      </c>
      <c r="B53" s="474"/>
      <c r="C53" s="463"/>
      <c r="D53" s="463"/>
      <c r="E53" s="463"/>
      <c r="F53" s="463"/>
    </row>
    <row r="54" spans="1:6" ht="12" customHeight="1">
      <c r="A54" s="451"/>
      <c r="B54" s="451"/>
      <c r="C54" s="451"/>
      <c r="D54" s="451"/>
      <c r="E54" s="451"/>
      <c r="F54" s="451"/>
    </row>
    <row r="55" spans="1:6" ht="15" customHeight="1">
      <c r="A55" s="476" t="s">
        <v>200</v>
      </c>
      <c r="B55" s="476"/>
      <c r="C55" s="476"/>
      <c r="D55" s="94" t="b">
        <v>0</v>
      </c>
      <c r="E55" s="477"/>
      <c r="F55" s="477"/>
    </row>
    <row r="56" spans="1:6" ht="12" customHeight="1">
      <c r="A56" s="451"/>
      <c r="B56" s="451"/>
      <c r="C56" s="451"/>
      <c r="D56" s="451"/>
      <c r="E56" s="451"/>
      <c r="F56" s="451"/>
    </row>
    <row r="57" spans="1:6" ht="15" customHeight="1">
      <c r="A57" s="444" t="s">
        <v>201</v>
      </c>
      <c r="B57" s="444"/>
      <c r="C57" s="64" t="s">
        <v>73</v>
      </c>
      <c r="D57" s="472"/>
      <c r="E57" s="472"/>
      <c r="F57" s="472"/>
    </row>
    <row r="58" spans="1:6" ht="12">
      <c r="A58" s="457">
        <f>IF(C57="Digital","Describe the frame:",IF(C57="Analog on IRIG","Precise the IRIG channels:",""))</f>
      </c>
      <c r="B58" s="457"/>
      <c r="C58" s="458"/>
      <c r="D58" s="458"/>
      <c r="E58" s="458"/>
      <c r="F58" s="458"/>
    </row>
    <row r="59" spans="1:6" ht="15" customHeight="1">
      <c r="A59" s="457"/>
      <c r="B59" s="457"/>
      <c r="C59" s="458"/>
      <c r="D59" s="458"/>
      <c r="E59" s="458"/>
      <c r="F59" s="458"/>
    </row>
    <row r="60" spans="1:6" ht="15" customHeight="1">
      <c r="A60" s="457"/>
      <c r="B60" s="457"/>
      <c r="C60" s="458"/>
      <c r="D60" s="458"/>
      <c r="E60" s="458"/>
      <c r="F60" s="458"/>
    </row>
    <row r="61" spans="1:6" ht="30" customHeight="1">
      <c r="A61" s="464" t="s">
        <v>202</v>
      </c>
      <c r="B61" s="464"/>
      <c r="C61" s="106" t="s">
        <v>73</v>
      </c>
      <c r="D61" s="473"/>
      <c r="E61" s="473"/>
      <c r="F61" s="473"/>
    </row>
    <row r="62" spans="1:6" ht="12" customHeight="1">
      <c r="A62" s="451"/>
      <c r="B62" s="451"/>
      <c r="C62" s="451"/>
      <c r="D62" s="451"/>
      <c r="E62" s="451"/>
      <c r="F62" s="451"/>
    </row>
    <row r="63" spans="1:6" ht="30" customHeight="1">
      <c r="A63" s="464" t="s">
        <v>203</v>
      </c>
      <c r="B63" s="464"/>
      <c r="C63" s="96" t="s">
        <v>73</v>
      </c>
      <c r="D63" s="472"/>
      <c r="E63" s="472"/>
      <c r="F63" s="472"/>
    </row>
    <row r="64" spans="1:6" s="97" customFormat="1" ht="30" customHeight="1">
      <c r="A64" s="469">
        <f>IF(C63="Yes","Precise purpose(s), frequency(ies), power(s): ","")</f>
      </c>
      <c r="B64" s="469"/>
      <c r="C64" s="458"/>
      <c r="D64" s="458"/>
      <c r="E64" s="458"/>
      <c r="F64" s="458"/>
    </row>
    <row r="65" spans="1:6" ht="12" customHeight="1">
      <c r="A65" s="447"/>
      <c r="B65" s="447"/>
      <c r="C65" s="447"/>
      <c r="D65" s="447"/>
      <c r="E65" s="447"/>
      <c r="F65" s="447"/>
    </row>
    <row r="66" spans="1:6" ht="15" customHeight="1">
      <c r="A66" s="449" t="s">
        <v>204</v>
      </c>
      <c r="B66" s="449"/>
      <c r="C66" s="449"/>
      <c r="D66" s="449"/>
      <c r="E66" s="449"/>
      <c r="F66" s="449"/>
    </row>
    <row r="67" spans="1:6" ht="12" customHeight="1">
      <c r="A67" s="448"/>
      <c r="B67" s="448"/>
      <c r="C67" s="448"/>
      <c r="D67" s="448"/>
      <c r="E67" s="448"/>
      <c r="F67" s="448"/>
    </row>
    <row r="68" spans="1:6" ht="27.75" customHeight="1">
      <c r="A68" s="471" t="s">
        <v>205</v>
      </c>
      <c r="B68" s="471"/>
      <c r="C68" s="106" t="s">
        <v>73</v>
      </c>
      <c r="D68" s="465"/>
      <c r="E68" s="465"/>
      <c r="F68" s="465"/>
    </row>
    <row r="69" spans="1:6" ht="12" customHeight="1">
      <c r="A69" s="451"/>
      <c r="B69" s="451"/>
      <c r="C69" s="451"/>
      <c r="D69" s="451"/>
      <c r="E69" s="451"/>
      <c r="F69" s="451"/>
    </row>
    <row r="70" spans="1:6" ht="24" customHeight="1">
      <c r="A70" s="464" t="s">
        <v>206</v>
      </c>
      <c r="B70" s="464"/>
      <c r="C70" s="106" t="s">
        <v>73</v>
      </c>
      <c r="D70" s="465"/>
      <c r="E70" s="465"/>
      <c r="F70" s="465"/>
    </row>
    <row r="71" spans="1:6" ht="12" customHeight="1">
      <c r="A71" s="451"/>
      <c r="B71" s="451"/>
      <c r="C71" s="451"/>
      <c r="D71" s="451"/>
      <c r="E71" s="451"/>
      <c r="F71" s="451"/>
    </row>
    <row r="72" spans="1:6" ht="15" customHeight="1">
      <c r="A72" s="466" t="s">
        <v>207</v>
      </c>
      <c r="B72" s="466"/>
      <c r="C72" s="93" t="s">
        <v>208</v>
      </c>
      <c r="D72" s="94" t="b">
        <v>0</v>
      </c>
      <c r="E72" s="93" t="s">
        <v>209</v>
      </c>
      <c r="F72" s="98" t="b">
        <v>0</v>
      </c>
    </row>
    <row r="73" spans="1:6" ht="15">
      <c r="A73" s="466"/>
      <c r="B73" s="466"/>
      <c r="C73" s="93" t="s">
        <v>210</v>
      </c>
      <c r="D73" s="94" t="b">
        <v>0</v>
      </c>
      <c r="E73" s="93" t="s">
        <v>211</v>
      </c>
      <c r="F73" s="98" t="b">
        <v>0</v>
      </c>
    </row>
    <row r="74" spans="1:6" ht="15" customHeight="1">
      <c r="A74" s="466"/>
      <c r="B74" s="466"/>
      <c r="C74" s="93" t="s">
        <v>212</v>
      </c>
      <c r="D74" s="94" t="b">
        <v>0</v>
      </c>
      <c r="E74" s="93" t="s">
        <v>213</v>
      </c>
      <c r="F74" s="99" t="b">
        <v>0</v>
      </c>
    </row>
    <row r="75" spans="1:6" ht="30" customHeight="1">
      <c r="A75" s="466"/>
      <c r="B75" s="466"/>
      <c r="C75" s="100" t="s">
        <v>214</v>
      </c>
      <c r="D75" s="101" t="b">
        <v>0</v>
      </c>
      <c r="E75" s="467"/>
      <c r="F75" s="467"/>
    </row>
    <row r="76" spans="1:6" ht="12" customHeight="1">
      <c r="A76" s="468"/>
      <c r="B76" s="468"/>
      <c r="C76" s="468"/>
      <c r="D76" s="468"/>
      <c r="E76" s="468"/>
      <c r="F76" s="468"/>
    </row>
    <row r="77" spans="1:6" ht="6" customHeight="1">
      <c r="A77" s="448"/>
      <c r="B77" s="448"/>
      <c r="C77" s="448"/>
      <c r="D77" s="448"/>
      <c r="E77" s="448"/>
      <c r="F77" s="448"/>
    </row>
    <row r="78" spans="1:6" ht="15" customHeight="1">
      <c r="A78" s="449" t="s">
        <v>215</v>
      </c>
      <c r="B78" s="449"/>
      <c r="C78" s="449"/>
      <c r="D78" s="449"/>
      <c r="E78" s="449"/>
      <c r="F78" s="449"/>
    </row>
    <row r="79" spans="1:6" ht="12" customHeight="1">
      <c r="A79" s="450" t="s">
        <v>216</v>
      </c>
      <c r="B79" s="450"/>
      <c r="C79" s="450"/>
      <c r="D79" s="450"/>
      <c r="E79" s="450"/>
      <c r="F79" s="450"/>
    </row>
    <row r="80" spans="1:6" ht="12" customHeight="1">
      <c r="A80" s="451"/>
      <c r="B80" s="451"/>
      <c r="C80" s="451"/>
      <c r="D80" s="451"/>
      <c r="E80" s="451"/>
      <c r="F80" s="451"/>
    </row>
    <row r="81" spans="1:6" ht="15" customHeight="1">
      <c r="A81" s="444" t="s">
        <v>217</v>
      </c>
      <c r="B81" s="444"/>
      <c r="C81" s="444"/>
      <c r="D81" s="463"/>
      <c r="E81" s="463"/>
      <c r="F81" s="463"/>
    </row>
    <row r="82" spans="1:6" ht="12" customHeight="1">
      <c r="A82" s="451"/>
      <c r="B82" s="451"/>
      <c r="C82" s="451"/>
      <c r="D82" s="451"/>
      <c r="E82" s="451"/>
      <c r="F82" s="451"/>
    </row>
    <row r="83" spans="1:6" ht="12">
      <c r="A83" s="444" t="s">
        <v>218</v>
      </c>
      <c r="B83" s="444"/>
      <c r="C83" s="444"/>
      <c r="D83" s="512" t="s">
        <v>73</v>
      </c>
      <c r="E83" s="512"/>
      <c r="F83" s="512"/>
    </row>
    <row r="84" spans="1:6" ht="12" customHeight="1">
      <c r="A84" s="447"/>
      <c r="B84" s="447"/>
      <c r="C84" s="447"/>
      <c r="D84" s="447"/>
      <c r="E84" s="447"/>
      <c r="F84" s="447"/>
    </row>
    <row r="85" spans="1:6" ht="6" customHeight="1">
      <c r="A85" s="448"/>
      <c r="B85" s="448"/>
      <c r="C85" s="448"/>
      <c r="D85" s="448"/>
      <c r="E85" s="448"/>
      <c r="F85" s="448"/>
    </row>
    <row r="86" spans="1:6" ht="15" customHeight="1">
      <c r="A86" s="449" t="s">
        <v>219</v>
      </c>
      <c r="B86" s="449"/>
      <c r="C86" s="449"/>
      <c r="D86" s="449"/>
      <c r="E86" s="449"/>
      <c r="F86" s="449"/>
    </row>
    <row r="87" spans="1:6" ht="12" customHeight="1">
      <c r="A87" s="450" t="s">
        <v>220</v>
      </c>
      <c r="B87" s="450"/>
      <c r="C87" s="450"/>
      <c r="D87" s="450"/>
      <c r="E87" s="450"/>
      <c r="F87" s="450"/>
    </row>
    <row r="88" spans="1:6" ht="12" customHeight="1">
      <c r="A88" s="451"/>
      <c r="B88" s="451"/>
      <c r="C88" s="451"/>
      <c r="D88" s="451"/>
      <c r="E88" s="451"/>
      <c r="F88" s="451"/>
    </row>
    <row r="89" spans="1:6" ht="12">
      <c r="A89" s="444" t="s">
        <v>221</v>
      </c>
      <c r="B89" s="444"/>
      <c r="C89" s="95" t="s">
        <v>73</v>
      </c>
      <c r="D89" s="461"/>
      <c r="E89" s="461"/>
      <c r="F89" s="461"/>
    </row>
    <row r="90" spans="1:6" ht="12" customHeight="1">
      <c r="A90" s="451"/>
      <c r="B90" s="451"/>
      <c r="C90" s="451"/>
      <c r="D90" s="451"/>
      <c r="E90" s="451"/>
      <c r="F90" s="451"/>
    </row>
    <row r="91" spans="1:6" ht="15" customHeight="1">
      <c r="A91" s="444">
        <f>IF(C89="Yes","Precise their number :","")</f>
      </c>
      <c r="B91" s="515"/>
      <c r="C91" s="463"/>
      <c r="D91" s="463"/>
      <c r="E91" s="463"/>
      <c r="F91" s="463"/>
    </row>
    <row r="92" spans="1:6" ht="12" customHeight="1">
      <c r="A92" s="451"/>
      <c r="B92" s="451"/>
      <c r="C92" s="451"/>
      <c r="D92" s="451"/>
      <c r="E92" s="451"/>
      <c r="F92" s="451"/>
    </row>
    <row r="93" spans="1:6" ht="15" customHeight="1">
      <c r="A93" s="480">
        <f>IF(C89="Yes","Precise their usage:","")</f>
      </c>
      <c r="B93" s="481"/>
      <c r="C93" s="509"/>
      <c r="D93" s="509"/>
      <c r="E93" s="509"/>
      <c r="F93" s="467"/>
    </row>
    <row r="94" spans="1:6" ht="9" customHeight="1">
      <c r="A94" s="480"/>
      <c r="B94" s="481"/>
      <c r="C94" s="509"/>
      <c r="D94" s="509"/>
      <c r="E94" s="509"/>
      <c r="F94" s="467"/>
    </row>
    <row r="95" spans="1:6" ht="12" customHeight="1">
      <c r="A95" s="447"/>
      <c r="B95" s="447"/>
      <c r="C95" s="447"/>
      <c r="D95" s="447"/>
      <c r="E95" s="447"/>
      <c r="F95" s="447"/>
    </row>
    <row r="96" spans="1:6" ht="6" customHeight="1">
      <c r="A96" s="448"/>
      <c r="B96" s="448"/>
      <c r="C96" s="448"/>
      <c r="D96" s="448"/>
      <c r="E96" s="448"/>
      <c r="F96" s="448"/>
    </row>
    <row r="97" spans="1:6" ht="15" customHeight="1">
      <c r="A97" s="449" t="s">
        <v>222</v>
      </c>
      <c r="B97" s="449"/>
      <c r="C97" s="449"/>
      <c r="D97" s="449"/>
      <c r="E97" s="449"/>
      <c r="F97" s="449"/>
    </row>
    <row r="98" spans="1:6" ht="12" customHeight="1">
      <c r="A98" s="460" t="s">
        <v>223</v>
      </c>
      <c r="B98" s="460"/>
      <c r="C98" s="460"/>
      <c r="D98" s="460"/>
      <c r="E98" s="460"/>
      <c r="F98" s="460"/>
    </row>
    <row r="99" spans="1:6" ht="12" customHeight="1">
      <c r="A99" s="451"/>
      <c r="B99" s="451"/>
      <c r="C99" s="451"/>
      <c r="D99" s="451"/>
      <c r="E99" s="451"/>
      <c r="F99" s="451"/>
    </row>
    <row r="100" spans="1:6" ht="15" customHeight="1">
      <c r="A100" s="444" t="s">
        <v>224</v>
      </c>
      <c r="B100" s="444"/>
      <c r="C100" s="444"/>
      <c r="D100" s="512" t="s">
        <v>73</v>
      </c>
      <c r="E100" s="512"/>
      <c r="F100" s="512"/>
    </row>
    <row r="101" spans="1:6" ht="30" customHeight="1">
      <c r="A101" s="457">
        <f>IF(D100="Yes","Precise:","")</f>
      </c>
      <c r="B101" s="457"/>
      <c r="C101" s="458"/>
      <c r="D101" s="458"/>
      <c r="E101" s="458"/>
      <c r="F101" s="458"/>
    </row>
    <row r="102" spans="1:6" ht="12" customHeight="1">
      <c r="A102" s="451"/>
      <c r="B102" s="451"/>
      <c r="C102" s="451"/>
      <c r="D102" s="451"/>
      <c r="E102" s="451"/>
      <c r="F102" s="451"/>
    </row>
    <row r="103" spans="1:6" ht="15" customHeight="1">
      <c r="A103" s="444" t="s">
        <v>225</v>
      </c>
      <c r="B103" s="444"/>
      <c r="C103" s="444"/>
      <c r="D103" s="512" t="s">
        <v>73</v>
      </c>
      <c r="E103" s="512"/>
      <c r="F103" s="512"/>
    </row>
    <row r="104" spans="1:6" ht="30" customHeight="1">
      <c r="A104" s="457">
        <f>IF(D103="Yes","Precise:","")</f>
      </c>
      <c r="B104" s="457"/>
      <c r="C104" s="458"/>
      <c r="D104" s="458"/>
      <c r="E104" s="458"/>
      <c r="F104" s="458"/>
    </row>
    <row r="105" spans="1:6" ht="12" customHeight="1">
      <c r="A105" s="451"/>
      <c r="B105" s="451"/>
      <c r="C105" s="451"/>
      <c r="D105" s="451"/>
      <c r="E105" s="451"/>
      <c r="F105" s="451"/>
    </row>
    <row r="106" spans="1:6" ht="15" customHeight="1">
      <c r="A106" s="444" t="s">
        <v>226</v>
      </c>
      <c r="B106" s="444"/>
      <c r="C106" s="444"/>
      <c r="D106" s="512" t="s">
        <v>73</v>
      </c>
      <c r="E106" s="512"/>
      <c r="F106" s="512"/>
    </row>
    <row r="107" spans="1:6" ht="30" customHeight="1">
      <c r="A107" s="457">
        <f>IF(D106="Yes","Precise:","")</f>
      </c>
      <c r="B107" s="457"/>
      <c r="C107" s="458"/>
      <c r="D107" s="458"/>
      <c r="E107" s="458"/>
      <c r="F107" s="458"/>
    </row>
    <row r="108" spans="1:6" ht="12" customHeight="1">
      <c r="A108" s="451"/>
      <c r="B108" s="451"/>
      <c r="C108" s="451"/>
      <c r="D108" s="451"/>
      <c r="E108" s="451"/>
      <c r="F108" s="451"/>
    </row>
    <row r="109" spans="1:6" ht="6" customHeight="1">
      <c r="A109" s="459"/>
      <c r="B109" s="459"/>
      <c r="C109" s="459"/>
      <c r="D109" s="459"/>
      <c r="E109" s="459"/>
      <c r="F109" s="459"/>
    </row>
    <row r="110" spans="1:6" ht="15" customHeight="1">
      <c r="A110" s="449" t="s">
        <v>227</v>
      </c>
      <c r="B110" s="449"/>
      <c r="C110" s="449"/>
      <c r="D110" s="449"/>
      <c r="E110" s="449"/>
      <c r="F110" s="449"/>
    </row>
    <row r="111" spans="1:6" ht="12" customHeight="1">
      <c r="A111" s="456"/>
      <c r="B111" s="456"/>
      <c r="C111" s="456"/>
      <c r="D111" s="456"/>
      <c r="E111" s="456"/>
      <c r="F111" s="456"/>
    </row>
    <row r="112" spans="1:8" ht="15" customHeight="1">
      <c r="A112" s="86" t="s">
        <v>228</v>
      </c>
      <c r="B112" s="504" t="str">
        <f>B19</f>
        <v>Select…</v>
      </c>
      <c r="C112" s="504"/>
      <c r="D112" s="514">
        <f>IF(B112="Autre (précisez)",D19,"")</f>
      </c>
      <c r="E112" s="514"/>
      <c r="F112" s="514"/>
      <c r="H112" s="104"/>
    </row>
    <row r="113" spans="1:6" ht="15" customHeight="1">
      <c r="A113" s="86" t="s">
        <v>229</v>
      </c>
      <c r="B113" s="107" t="str">
        <f>C50</f>
        <v>Select…</v>
      </c>
      <c r="C113" s="103">
        <f>IF(B113="Autre (précisez)",D50,"")</f>
      </c>
      <c r="D113" s="513"/>
      <c r="E113" s="513"/>
      <c r="F113" s="513"/>
    </row>
    <row r="114" spans="1:6" ht="15" customHeight="1">
      <c r="A114" s="86" t="s">
        <v>230</v>
      </c>
      <c r="B114" s="446">
        <f>IF(B17="Experimental Balloon","Flying Line",IF(F73,"Igniter",""))</f>
      </c>
      <c r="C114" s="446"/>
      <c r="D114" s="446"/>
      <c r="E114" s="446"/>
      <c r="F114" s="446"/>
    </row>
    <row r="115" spans="1:6" ht="12" customHeight="1">
      <c r="A115" s="447"/>
      <c r="B115" s="447"/>
      <c r="C115" s="447"/>
      <c r="D115" s="447"/>
      <c r="E115" s="447"/>
      <c r="F115" s="447"/>
    </row>
    <row r="116" spans="1:6" ht="6" customHeight="1">
      <c r="A116" s="448"/>
      <c r="B116" s="448"/>
      <c r="C116" s="448"/>
      <c r="D116" s="448"/>
      <c r="E116" s="448"/>
      <c r="F116" s="448"/>
    </row>
    <row r="117" spans="1:6" ht="15" customHeight="1">
      <c r="A117" s="449" t="s">
        <v>231</v>
      </c>
      <c r="B117" s="449"/>
      <c r="C117" s="449"/>
      <c r="D117" s="449"/>
      <c r="E117" s="449"/>
      <c r="F117" s="449"/>
    </row>
    <row r="118" spans="1:6" ht="12" customHeight="1">
      <c r="A118" s="450" t="s">
        <v>232</v>
      </c>
      <c r="B118" s="450"/>
      <c r="C118" s="450"/>
      <c r="D118" s="450"/>
      <c r="E118" s="450"/>
      <c r="F118" s="450"/>
    </row>
    <row r="119" spans="1:6" ht="12" customHeight="1">
      <c r="A119" s="451"/>
      <c r="B119" s="451"/>
      <c r="C119" s="451"/>
      <c r="D119" s="451"/>
      <c r="E119" s="451"/>
      <c r="F119" s="451"/>
    </row>
    <row r="120" spans="1:6" ht="15" customHeight="1">
      <c r="A120" s="452">
        <f>IF(D41,"Don't miss to plan for a system that will prevent your data from being erased after the flight","")</f>
      </c>
      <c r="B120" s="452"/>
      <c r="C120" s="452"/>
      <c r="D120" s="452"/>
      <c r="E120" s="452"/>
      <c r="F120" s="452"/>
    </row>
    <row r="121" spans="1:6" ht="15" customHeight="1">
      <c r="A121" s="453"/>
      <c r="B121" s="454"/>
      <c r="C121" s="454"/>
      <c r="D121" s="454"/>
      <c r="E121" s="454"/>
      <c r="F121" s="455"/>
    </row>
    <row r="122" spans="1:6" ht="15" customHeight="1">
      <c r="A122" s="453"/>
      <c r="B122" s="454"/>
      <c r="C122" s="454"/>
      <c r="D122" s="454"/>
      <c r="E122" s="454"/>
      <c r="F122" s="455"/>
    </row>
    <row r="123" spans="1:6" ht="15" customHeight="1">
      <c r="A123" s="453"/>
      <c r="B123" s="454"/>
      <c r="C123" s="454"/>
      <c r="D123" s="454"/>
      <c r="E123" s="454"/>
      <c r="F123" s="455"/>
    </row>
    <row r="124" spans="1:6" ht="15" customHeight="1">
      <c r="A124" s="453"/>
      <c r="B124" s="454"/>
      <c r="C124" s="454"/>
      <c r="D124" s="454"/>
      <c r="E124" s="454"/>
      <c r="F124" s="455"/>
    </row>
    <row r="125" spans="1:6" ht="15" customHeight="1">
      <c r="A125" s="453"/>
      <c r="B125" s="454"/>
      <c r="C125" s="454"/>
      <c r="D125" s="454"/>
      <c r="E125" s="454"/>
      <c r="F125" s="455"/>
    </row>
    <row r="126" spans="1:6" ht="12" customHeight="1">
      <c r="A126" s="443"/>
      <c r="B126" s="443"/>
      <c r="C126" s="443"/>
      <c r="D126" s="443"/>
      <c r="E126" s="443"/>
      <c r="F126" s="443"/>
    </row>
    <row r="127" spans="1:6" ht="15" customHeight="1">
      <c r="A127" s="444" t="s">
        <v>233</v>
      </c>
      <c r="B127" s="444"/>
      <c r="C127" s="444"/>
      <c r="D127" s="444"/>
      <c r="E127" s="512" t="s">
        <v>73</v>
      </c>
      <c r="F127" s="512"/>
    </row>
    <row r="128" spans="1:6" ht="15" customHeight="1">
      <c r="A128" s="444" t="s">
        <v>234</v>
      </c>
      <c r="B128" s="444"/>
      <c r="C128" s="444"/>
      <c r="D128" s="444"/>
      <c r="E128" s="512" t="s">
        <v>73</v>
      </c>
      <c r="F128" s="512"/>
    </row>
    <row r="129" spans="1:6" ht="15.75" customHeight="1">
      <c r="A129" s="441" t="s">
        <v>235</v>
      </c>
      <c r="B129" s="441"/>
      <c r="C129" s="441"/>
      <c r="D129" s="441"/>
      <c r="E129" s="512" t="s">
        <v>73</v>
      </c>
      <c r="F129" s="512"/>
    </row>
  </sheetData>
  <sheetProtection password="DD05" sheet="1" objects="1" scenarios="1"/>
  <mergeCells count="153">
    <mergeCell ref="C37:F38"/>
    <mergeCell ref="A39:B40"/>
    <mergeCell ref="C39:F40"/>
    <mergeCell ref="A35:B36"/>
    <mergeCell ref="C35:F36"/>
    <mergeCell ref="A37:B38"/>
    <mergeCell ref="A7:F7"/>
    <mergeCell ref="A8:F8"/>
    <mergeCell ref="A93:B94"/>
    <mergeCell ref="C93:F94"/>
    <mergeCell ref="A41:B42"/>
    <mergeCell ref="E41:F41"/>
    <mergeCell ref="E42:F42"/>
    <mergeCell ref="A47:F47"/>
    <mergeCell ref="A48:F48"/>
    <mergeCell ref="A49:F49"/>
    <mergeCell ref="A1:F1"/>
    <mergeCell ref="A2:F2"/>
    <mergeCell ref="A3:F3"/>
    <mergeCell ref="A4:F4"/>
    <mergeCell ref="A5:F5"/>
    <mergeCell ref="A6:F6"/>
    <mergeCell ref="A24:F24"/>
    <mergeCell ref="A9:F9"/>
    <mergeCell ref="A10:F10"/>
    <mergeCell ref="B11:F11"/>
    <mergeCell ref="A12:F12"/>
    <mergeCell ref="B13:F13"/>
    <mergeCell ref="A14:F14"/>
    <mergeCell ref="A15:F15"/>
    <mergeCell ref="A16:F16"/>
    <mergeCell ref="A29:B29"/>
    <mergeCell ref="C29:F29"/>
    <mergeCell ref="B17:C17"/>
    <mergeCell ref="D17:F17"/>
    <mergeCell ref="A18:F18"/>
    <mergeCell ref="B19:C19"/>
    <mergeCell ref="D19:F19"/>
    <mergeCell ref="A20:F20"/>
    <mergeCell ref="A22:F22"/>
    <mergeCell ref="A23:F23"/>
    <mergeCell ref="A25:F25"/>
    <mergeCell ref="A26:F26"/>
    <mergeCell ref="A27:B27"/>
    <mergeCell ref="C27:F27"/>
    <mergeCell ref="A28:B28"/>
    <mergeCell ref="C28:F28"/>
    <mergeCell ref="A33:B33"/>
    <mergeCell ref="C33:F33"/>
    <mergeCell ref="A30:F30"/>
    <mergeCell ref="A31:B31"/>
    <mergeCell ref="C31:F31"/>
    <mergeCell ref="A32:B32"/>
    <mergeCell ref="C32:F32"/>
    <mergeCell ref="A55:C55"/>
    <mergeCell ref="E55:F55"/>
    <mergeCell ref="A56:F56"/>
    <mergeCell ref="A43:F43"/>
    <mergeCell ref="A44:F44"/>
    <mergeCell ref="A45:F45"/>
    <mergeCell ref="A46:F46"/>
    <mergeCell ref="A50:B50"/>
    <mergeCell ref="D50:F50"/>
    <mergeCell ref="A51:F51"/>
    <mergeCell ref="A52:B52"/>
    <mergeCell ref="C52:F52"/>
    <mergeCell ref="A53:B53"/>
    <mergeCell ref="C53:F53"/>
    <mergeCell ref="A54:F54"/>
    <mergeCell ref="A69:F69"/>
    <mergeCell ref="A57:B57"/>
    <mergeCell ref="D57:F57"/>
    <mergeCell ref="A58:B60"/>
    <mergeCell ref="C58:F60"/>
    <mergeCell ref="A61:B61"/>
    <mergeCell ref="D61:F61"/>
    <mergeCell ref="A62:F62"/>
    <mergeCell ref="A63:B63"/>
    <mergeCell ref="D63:F63"/>
    <mergeCell ref="A64:B64"/>
    <mergeCell ref="C64:F64"/>
    <mergeCell ref="A65:F65"/>
    <mergeCell ref="A66:F66"/>
    <mergeCell ref="A67:F67"/>
    <mergeCell ref="A68:B68"/>
    <mergeCell ref="D68:F68"/>
    <mergeCell ref="A85:F85"/>
    <mergeCell ref="A70:B70"/>
    <mergeCell ref="D70:F70"/>
    <mergeCell ref="A71:F71"/>
    <mergeCell ref="A72:B75"/>
    <mergeCell ref="E75:F75"/>
    <mergeCell ref="A76:F76"/>
    <mergeCell ref="A77:F77"/>
    <mergeCell ref="A78:F78"/>
    <mergeCell ref="A79:F79"/>
    <mergeCell ref="A91:B91"/>
    <mergeCell ref="C91:F91"/>
    <mergeCell ref="A92:F92"/>
    <mergeCell ref="A80:F80"/>
    <mergeCell ref="A81:C81"/>
    <mergeCell ref="D81:F81"/>
    <mergeCell ref="A82:F82"/>
    <mergeCell ref="A83:C83"/>
    <mergeCell ref="D83:F83"/>
    <mergeCell ref="A84:F84"/>
    <mergeCell ref="A86:F86"/>
    <mergeCell ref="A87:F87"/>
    <mergeCell ref="A88:F88"/>
    <mergeCell ref="A89:B89"/>
    <mergeCell ref="D89:F89"/>
    <mergeCell ref="A90:F90"/>
    <mergeCell ref="A95:F95"/>
    <mergeCell ref="A96:F96"/>
    <mergeCell ref="A104:B104"/>
    <mergeCell ref="C104:F104"/>
    <mergeCell ref="A97:F97"/>
    <mergeCell ref="A98:F98"/>
    <mergeCell ref="A99:F99"/>
    <mergeCell ref="A100:C100"/>
    <mergeCell ref="D100:F100"/>
    <mergeCell ref="B112:C112"/>
    <mergeCell ref="D112:F112"/>
    <mergeCell ref="A105:F105"/>
    <mergeCell ref="A106:C106"/>
    <mergeCell ref="D106:F106"/>
    <mergeCell ref="A101:B101"/>
    <mergeCell ref="C101:F101"/>
    <mergeCell ref="A102:F102"/>
    <mergeCell ref="A103:C103"/>
    <mergeCell ref="D103:F103"/>
    <mergeCell ref="A107:B107"/>
    <mergeCell ref="C107:F107"/>
    <mergeCell ref="A108:F108"/>
    <mergeCell ref="A109:F109"/>
    <mergeCell ref="A110:F110"/>
    <mergeCell ref="A111:F111"/>
    <mergeCell ref="A129:D129"/>
    <mergeCell ref="E129:F129"/>
    <mergeCell ref="D113:F113"/>
    <mergeCell ref="B114:F114"/>
    <mergeCell ref="A115:F115"/>
    <mergeCell ref="A116:F116"/>
    <mergeCell ref="A117:F117"/>
    <mergeCell ref="A118:F118"/>
    <mergeCell ref="A119:F119"/>
    <mergeCell ref="A120:F120"/>
    <mergeCell ref="A121:F125"/>
    <mergeCell ref="A126:F126"/>
    <mergeCell ref="A127:D127"/>
    <mergeCell ref="E127:F127"/>
    <mergeCell ref="A128:D128"/>
    <mergeCell ref="E128:F128"/>
  </mergeCells>
  <conditionalFormatting sqref="D50:F50 D89">
    <cfRule type="cellIs" priority="1" dxfId="0" operator="equal" stopIfTrue="1">
      <formula>"Sélectionner …"</formula>
    </cfRule>
  </conditionalFormatting>
  <conditionalFormatting sqref="B17:C17 B19:C19 C50 C57 C61 C63 C68 C70 C89 D83:E83 D100:E100 D103:E103 D106:E106 E127:F129">
    <cfRule type="cellIs" priority="2" dxfId="0" operator="equal" stopIfTrue="1">
      <formula>"Select…"</formula>
    </cfRule>
  </conditionalFormatting>
  <dataValidations count="10">
    <dataValidation type="whole" allowBlank="1" showErrorMessage="1" error="Un nombre entier entre 0 et 10 doit être saisi !" sqref="D81">
      <formula1>0</formula1>
      <formula2>10</formula2>
    </dataValidation>
    <dataValidation type="list" allowBlank="1" showErrorMessage="1" sqref="C57">
      <formula1>TelemetryType</formula1>
      <formula2>0</formula2>
    </dataValidation>
    <dataValidation type="list" allowBlank="1" showErrorMessage="1" sqref="I31">
      <formula1>Question</formula1>
      <formula2>0</formula2>
    </dataValidation>
    <dataValidation type="list" allowBlank="1" showErrorMessage="1" sqref="C68">
      <formula1>RecoveryType</formula1>
      <formula2>0</formula2>
    </dataValidation>
    <dataValidation type="list" allowBlank="1" showErrorMessage="1" sqref="D83:E83">
      <formula1>StructuralType</formula1>
      <formula2>0</formula2>
    </dataValidation>
    <dataValidation type="list" allowBlank="1" showErrorMessage="1" sqref="C70">
      <formula1>EjectionType</formula1>
      <formula2>0</formula2>
    </dataValidation>
    <dataValidation type="list" allowBlank="1" showErrorMessage="1" sqref="C50">
      <formula1>TransmitterType</formula1>
      <formula2>0</formula2>
    </dataValidation>
    <dataValidation type="list" allowBlank="1" showErrorMessage="1" sqref="B17:C17">
      <formula1>ProjectType</formula1>
      <formula2>0</formula2>
    </dataValidation>
    <dataValidation type="list" allowBlank="1" showErrorMessage="1" sqref="B19:C19">
      <formula1>PropellorType</formula1>
      <formula2>0</formula2>
    </dataValidation>
    <dataValidation type="list" allowBlank="1" showErrorMessage="1" sqref="C61 E127:F129 D106:F106 D103:F103 D100:F100 C89 C63">
      <formula1>QuestionType</formula1>
      <formula2>0</formula2>
    </dataValidation>
  </dataValidations>
  <printOptions gridLines="1" horizontalCentered="1"/>
  <pageMargins left="0.7875" right="0.7875" top="0.4722222222222222" bottom="0.4722222222222222" header="0.5118055555555555" footer="0.5118055555555555"/>
  <pageSetup horizontalDpi="300" verticalDpi="300" orientation="portrait" paperSize="9" scale="71"/>
  <rowBreaks count="1" manualBreakCount="1">
    <brk id="65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1"/>
  <sheetViews>
    <sheetView showGridLines="0" zoomScale="85" zoomScaleNormal="85" zoomScaleSheetLayoutView="85" workbookViewId="0" topLeftCell="A82">
      <selection activeCell="A105" sqref="A105:F105"/>
    </sheetView>
  </sheetViews>
  <sheetFormatPr defaultColWidth="11.421875" defaultRowHeight="12.75"/>
  <cols>
    <col min="1" max="1" width="19.7109375" style="0" customWidth="1"/>
    <col min="2" max="2" width="21.421875" style="0" customWidth="1"/>
    <col min="3" max="3" width="30.28125" style="0" customWidth="1"/>
    <col min="4" max="4" width="3.7109375" style="0" customWidth="1"/>
    <col min="5" max="5" width="21.421875" style="0" customWidth="1"/>
    <col min="6" max="6" width="3.7109375" style="0" customWidth="1"/>
    <col min="7" max="7" width="4.421875" style="0" customWidth="1"/>
    <col min="8" max="8" width="2.421875" style="0" customWidth="1"/>
  </cols>
  <sheetData>
    <row r="1" spans="1:6" ht="24" customHeight="1">
      <c r="A1" s="492" t="str">
        <f>ANNEE</f>
        <v>2011-2012</v>
      </c>
      <c r="B1" s="492"/>
      <c r="C1" s="492"/>
      <c r="D1" s="492"/>
      <c r="E1" s="492"/>
      <c r="F1" s="492"/>
    </row>
    <row r="2" spans="1:6" ht="18">
      <c r="A2" s="493" t="s">
        <v>236</v>
      </c>
      <c r="B2" s="493"/>
      <c r="C2" s="493"/>
      <c r="D2" s="493"/>
      <c r="E2" s="493"/>
      <c r="F2" s="493"/>
    </row>
    <row r="3" spans="1:6" ht="12" customHeight="1">
      <c r="A3" s="448"/>
      <c r="B3" s="448"/>
      <c r="C3" s="448"/>
      <c r="D3" s="448"/>
      <c r="E3" s="448"/>
      <c r="F3" s="448"/>
    </row>
    <row r="4" spans="1:6" ht="15">
      <c r="A4" s="537" t="str">
        <f>"A retourner avant le "&amp;Source!A34&amp;" pour les fusées expérimentales"</f>
        <v>A retourner avant le 17 mars 2012 pour les fusées expérimentales</v>
      </c>
      <c r="B4" s="537"/>
      <c r="C4" s="537"/>
      <c r="D4" s="537"/>
      <c r="E4" s="537"/>
      <c r="F4" s="537"/>
    </row>
    <row r="5" spans="1:6" ht="15" customHeight="1">
      <c r="A5" s="494" t="s">
        <v>237</v>
      </c>
      <c r="B5" s="494"/>
      <c r="C5" s="494"/>
      <c r="D5" s="494"/>
      <c r="E5" s="494"/>
      <c r="F5" s="494"/>
    </row>
    <row r="6" spans="1:6" ht="12">
      <c r="A6" s="412" t="str">
        <f>'2-Définition'!A6</f>
        <v>UNE FICHE PAR PROJET</v>
      </c>
      <c r="B6" s="412"/>
      <c r="C6" s="412"/>
      <c r="D6" s="412"/>
      <c r="E6" s="412"/>
      <c r="F6" s="412"/>
    </row>
    <row r="7" spans="1:6" ht="9" customHeight="1">
      <c r="A7" s="108"/>
      <c r="B7" s="109"/>
      <c r="C7" s="110"/>
      <c r="D7" s="110"/>
      <c r="E7" s="110"/>
      <c r="F7" s="69"/>
    </row>
    <row r="8" spans="1:6" ht="12">
      <c r="A8" s="400" t="s">
        <v>238</v>
      </c>
      <c r="B8" s="400"/>
      <c r="C8" s="400"/>
      <c r="D8" s="400"/>
      <c r="E8" s="400"/>
      <c r="F8" s="400"/>
    </row>
    <row r="9" spans="1:6" ht="12">
      <c r="A9" s="400" t="s">
        <v>239</v>
      </c>
      <c r="B9" s="400"/>
      <c r="C9" s="400"/>
      <c r="D9" s="400"/>
      <c r="E9" s="400"/>
      <c r="F9" s="400"/>
    </row>
    <row r="10" spans="1:6" ht="12">
      <c r="A10" s="400" t="s">
        <v>240</v>
      </c>
      <c r="B10" s="400"/>
      <c r="C10" s="400"/>
      <c r="D10" s="400"/>
      <c r="E10" s="400"/>
      <c r="F10" s="400"/>
    </row>
    <row r="11" spans="1:6" ht="12">
      <c r="A11" s="536" t="s">
        <v>241</v>
      </c>
      <c r="B11" s="536"/>
      <c r="C11" s="536"/>
      <c r="D11" s="536"/>
      <c r="E11" s="536"/>
      <c r="F11" s="536"/>
    </row>
    <row r="12" spans="1:6" ht="6" customHeight="1">
      <c r="A12" s="88"/>
      <c r="B12" s="111"/>
      <c r="C12" s="59"/>
      <c r="D12" s="89"/>
      <c r="E12" s="89"/>
      <c r="F12" s="90"/>
    </row>
    <row r="13" spans="1:6" ht="15" customHeight="1">
      <c r="A13" s="84" t="str">
        <f>'2-Définition'!A11</f>
        <v>Nom du projet</v>
      </c>
      <c r="B13" s="489" t="str">
        <f>IF('1-Déclaration'!$B$12="","",'1-Déclaration'!$B$12)</f>
        <v>PERSEUS Ares07EvoP2 (Ares-EVE4)</v>
      </c>
      <c r="C13" s="489"/>
      <c r="D13" s="489"/>
      <c r="E13" s="489"/>
      <c r="F13" s="489"/>
    </row>
    <row r="14" spans="1:6" ht="12" customHeight="1">
      <c r="A14" s="490"/>
      <c r="B14" s="490"/>
      <c r="C14" s="490"/>
      <c r="D14" s="490"/>
      <c r="E14" s="490"/>
      <c r="F14" s="490"/>
    </row>
    <row r="15" spans="1:6" ht="15" customHeight="1">
      <c r="A15" s="85" t="str">
        <f>'2-Définition'!A13</f>
        <v>Nom du club</v>
      </c>
      <c r="B15" s="499" t="str">
        <f>IF('1-Déclaration'!$B$18="","",'1-Déclaration'!$B$18)</f>
        <v>Octave</v>
      </c>
      <c r="C15" s="499"/>
      <c r="D15" s="499"/>
      <c r="E15" s="499"/>
      <c r="F15" s="499"/>
    </row>
    <row r="16" spans="1:6" ht="6" customHeight="1">
      <c r="A16" s="88"/>
      <c r="B16" s="111"/>
      <c r="C16" s="59"/>
      <c r="D16" s="89"/>
      <c r="E16" s="89"/>
      <c r="F16" s="90"/>
    </row>
    <row r="17" spans="1:6" ht="15" customHeight="1">
      <c r="A17" s="449" t="str">
        <f>'2-Définition'!A15</f>
        <v>VOTRE PROJET</v>
      </c>
      <c r="B17" s="449"/>
      <c r="C17" s="449"/>
      <c r="D17" s="449"/>
      <c r="E17" s="449"/>
      <c r="F17" s="449"/>
    </row>
    <row r="18" spans="1:6" ht="12" customHeight="1">
      <c r="A18" s="448"/>
      <c r="B18" s="448"/>
      <c r="C18" s="448"/>
      <c r="D18" s="448"/>
      <c r="E18" s="448"/>
      <c r="F18" s="448"/>
    </row>
    <row r="19" spans="1:6" ht="12">
      <c r="A19" s="86" t="str">
        <f>'2-Définition'!A17</f>
        <v>Type de projet</v>
      </c>
      <c r="B19" s="483" t="str">
        <f>'2-Définition'!B17</f>
        <v>Fusée Expérimentale</v>
      </c>
      <c r="C19" s="483"/>
      <c r="D19" s="484">
        <f>'2-Définition'!D17</f>
      </c>
      <c r="E19" s="484"/>
      <c r="F19" s="484"/>
    </row>
    <row r="20" spans="1:6" ht="12" customHeight="1">
      <c r="A20" s="451"/>
      <c r="B20" s="451"/>
      <c r="C20" s="451"/>
      <c r="D20" s="451"/>
      <c r="E20" s="451"/>
      <c r="F20" s="451"/>
    </row>
    <row r="21" spans="1:6" ht="12">
      <c r="A21" s="86" t="str">
        <f>'2-Définition'!A19</f>
        <v>Type de propulseur</v>
      </c>
      <c r="B21" s="483" t="str">
        <f>'2-Définition'!B19</f>
        <v>Orignal (Pro75-3G)</v>
      </c>
      <c r="C21" s="483"/>
      <c r="D21" s="465"/>
      <c r="E21" s="465"/>
      <c r="F21" s="465"/>
    </row>
    <row r="22" spans="1:7" ht="12" customHeight="1">
      <c r="A22" s="491"/>
      <c r="B22" s="491"/>
      <c r="C22" s="491"/>
      <c r="D22" s="491"/>
      <c r="E22" s="491"/>
      <c r="F22" s="491"/>
      <c r="G22" s="112"/>
    </row>
    <row r="23" spans="1:7" ht="6" customHeight="1">
      <c r="A23" s="88"/>
      <c r="B23" s="89"/>
      <c r="C23" s="89"/>
      <c r="D23" s="89"/>
      <c r="E23" s="89"/>
      <c r="F23" s="90"/>
      <c r="G23" s="112"/>
    </row>
    <row r="24" spans="1:6" ht="15" customHeight="1">
      <c r="A24" s="449" t="str">
        <f>'2-Définition'!A22</f>
        <v>EXPERIENCE</v>
      </c>
      <c r="B24" s="449"/>
      <c r="C24" s="449"/>
      <c r="D24" s="449"/>
      <c r="E24" s="449"/>
      <c r="F24" s="449"/>
    </row>
    <row r="25" spans="1:6" ht="12">
      <c r="A25" s="450" t="str">
        <f>'2-Définition'!$A$23</f>
        <v>Un projet expérimental dont la ou les expérience(s) principale(s) ne fonctionne(nt) pas, ne peut être mis en œuvre</v>
      </c>
      <c r="B25" s="450"/>
      <c r="C25" s="450"/>
      <c r="D25" s="450"/>
      <c r="E25" s="450"/>
      <c r="F25" s="450"/>
    </row>
    <row r="26" spans="1:6" ht="12">
      <c r="A26" s="450" t="str">
        <f>'2-Définition'!$A$24</f>
        <v>L'expérience secondaire est facultative. Votre projet peut ne comporter qu'une ou plusieurs expérience(s) principale(s).</v>
      </c>
      <c r="B26" s="450"/>
      <c r="C26" s="450"/>
      <c r="D26" s="450"/>
      <c r="E26" s="450"/>
      <c r="F26" s="450"/>
    </row>
    <row r="27" spans="1:6" ht="12" customHeight="1">
      <c r="A27" s="450" t="str">
        <f>'2-Définition'!$A$25</f>
        <v>Ne renseignez pas cette partie si votre projet est une fusée sans expérience embarquée.</v>
      </c>
      <c r="B27" s="450"/>
      <c r="C27" s="450"/>
      <c r="D27" s="450"/>
      <c r="E27" s="450"/>
      <c r="F27" s="450"/>
    </row>
    <row r="28" spans="1:7" ht="9" customHeight="1">
      <c r="A28" s="448"/>
      <c r="B28" s="448"/>
      <c r="C28" s="448"/>
      <c r="D28" s="448"/>
      <c r="E28" s="448"/>
      <c r="F28" s="448"/>
      <c r="G28" s="113"/>
    </row>
    <row r="29" spans="1:7" ht="36" customHeight="1">
      <c r="A29" s="480" t="str">
        <f>'2-Définition'!A27</f>
        <v>Expérience(s) principale(s)</v>
      </c>
      <c r="B29" s="480"/>
      <c r="C29" s="467" t="str">
        <f>IF('2-Définition'!C27="","",'2-Définition'!C27)</f>
        <v>Mesures inertielles par centrales embarquées, restitution des performances et de la trajectoire</v>
      </c>
      <c r="D29" s="467"/>
      <c r="E29" s="467"/>
      <c r="F29" s="467"/>
      <c r="G29" s="113"/>
    </row>
    <row r="30" spans="1:7" ht="36" customHeight="1">
      <c r="A30" s="464" t="str">
        <f>'2-Définition'!A28</f>
        <v>Paramètre(s) physique à étudier
(précisez les unités)</v>
      </c>
      <c r="B30" s="464"/>
      <c r="C30" s="467">
        <f>IF('2-Définition'!C28="","",'2-Définition'!C28)</f>
      </c>
      <c r="D30" s="467"/>
      <c r="E30" s="467"/>
      <c r="F30" s="467"/>
      <c r="G30" s="113"/>
    </row>
    <row r="31" spans="1:7" ht="36" customHeight="1">
      <c r="A31" s="464" t="str">
        <f>'2-Définition'!A29</f>
        <v>Pour chacun des paramètres, indiquez la plage de variation attendue</v>
      </c>
      <c r="B31" s="464"/>
      <c r="C31" s="467">
        <f>IF('2-Définition'!C29="","",'2-Définition'!C29)</f>
      </c>
      <c r="D31" s="467"/>
      <c r="E31" s="467"/>
      <c r="F31" s="467"/>
      <c r="G31" s="113"/>
    </row>
    <row r="32" spans="1:7" ht="9" customHeight="1">
      <c r="A32" s="451"/>
      <c r="B32" s="451"/>
      <c r="C32" s="451"/>
      <c r="D32" s="451"/>
      <c r="E32" s="451"/>
      <c r="F32" s="451"/>
      <c r="G32" s="113"/>
    </row>
    <row r="33" spans="1:7" ht="36" customHeight="1">
      <c r="A33" s="464" t="str">
        <f>'2-Définition'!A31</f>
        <v>Expérience(s) secondaire(s)
(facultatif)</v>
      </c>
      <c r="B33" s="464"/>
      <c r="C33" s="467" t="str">
        <f>'2-Définition'!C31</f>
        <v>Système de récupération par double parachute, éjection d'un CANSAT à culmination</v>
      </c>
      <c r="D33" s="467"/>
      <c r="E33" s="467"/>
      <c r="F33" s="467"/>
      <c r="G33" s="113"/>
    </row>
    <row r="34" spans="1:7" ht="36" customHeight="1">
      <c r="A34" s="464" t="str">
        <f>'2-Définition'!A32</f>
        <v>Paramètre(s) physique à étudier
(précisez les unités)</v>
      </c>
      <c r="B34" s="464"/>
      <c r="C34" s="467">
        <f>IF('2-Définition'!C32="","",'2-Définition'!C32)</f>
      </c>
      <c r="D34" s="467"/>
      <c r="E34" s="467"/>
      <c r="F34" s="467"/>
      <c r="G34" s="113"/>
    </row>
    <row r="35" spans="1:7" ht="36" customHeight="1">
      <c r="A35" s="464" t="str">
        <f>'2-Définition'!A33</f>
        <v>Pour chacun des paramètres, indiquez la plage de variation attendue</v>
      </c>
      <c r="B35" s="464"/>
      <c r="C35" s="467">
        <f>IF('2-Définition'!C33="","",'2-Définition'!C33)</f>
      </c>
      <c r="D35" s="467"/>
      <c r="E35" s="467"/>
      <c r="F35" s="467"/>
      <c r="G35" s="113"/>
    </row>
    <row r="36" spans="1:7" ht="17.25" customHeight="1">
      <c r="A36" s="451"/>
      <c r="B36" s="451"/>
      <c r="C36" s="451"/>
      <c r="D36" s="451"/>
      <c r="E36" s="451"/>
      <c r="F36" s="451"/>
      <c r="G36" s="113"/>
    </row>
    <row r="37" spans="1:7" ht="12" customHeight="1">
      <c r="A37" s="464" t="str">
        <f>'2-Définition'!A35</f>
        <v>Paramètre(s) effectivement mesuré(s) 
(précisez les unités)</v>
      </c>
      <c r="B37" s="510"/>
      <c r="C37" s="509">
        <f>IF('2-Définition'!C36="","",'2-Définition'!C36)</f>
      </c>
      <c r="D37" s="509"/>
      <c r="E37" s="509"/>
      <c r="F37" s="467"/>
      <c r="G37" s="113"/>
    </row>
    <row r="38" spans="1:7" ht="30" customHeight="1">
      <c r="A38" s="464"/>
      <c r="B38" s="510"/>
      <c r="C38" s="509"/>
      <c r="D38" s="509"/>
      <c r="E38" s="509"/>
      <c r="F38" s="467"/>
      <c r="G38" s="113"/>
    </row>
    <row r="39" spans="1:7" ht="30" customHeight="1">
      <c r="A39" s="464" t="str">
        <f>'2-Définition'!A37</f>
        <v>Capteur(s) mis en œuvre</v>
      </c>
      <c r="B39" s="510"/>
      <c r="C39" s="509">
        <f>IF('2-Définition'!C37="","",'2-Définition'!C37)</f>
      </c>
      <c r="D39" s="509"/>
      <c r="E39" s="509"/>
      <c r="F39" s="467"/>
      <c r="G39" s="113"/>
    </row>
    <row r="40" spans="1:7" ht="12" customHeight="1">
      <c r="A40" s="464"/>
      <c r="B40" s="510"/>
      <c r="C40" s="509"/>
      <c r="D40" s="509"/>
      <c r="E40" s="509"/>
      <c r="F40" s="467"/>
      <c r="G40" s="113"/>
    </row>
    <row r="41" spans="1:7" ht="30" customHeight="1">
      <c r="A41" s="464" t="str">
        <f>'2-Définition'!A39</f>
        <v>Indiquez les formules de conversion</v>
      </c>
      <c r="B41" s="510"/>
      <c r="C41" s="509">
        <f>IF('2-Définition'!C39="","",'2-Définition'!C39)</f>
      </c>
      <c r="D41" s="509"/>
      <c r="E41" s="509"/>
      <c r="F41" s="467"/>
      <c r="G41" s="113"/>
    </row>
    <row r="42" spans="1:7" ht="12" customHeight="1">
      <c r="A42" s="464"/>
      <c r="B42" s="510"/>
      <c r="C42" s="509"/>
      <c r="D42" s="509"/>
      <c r="E42" s="509"/>
      <c r="F42" s="467"/>
      <c r="G42" s="113"/>
    </row>
    <row r="43" spans="1:7" ht="15" customHeight="1">
      <c r="A43" s="479" t="str">
        <f>'2-Définition'!A41</f>
        <v>Moyen de sauvegarde des données</v>
      </c>
      <c r="B43" s="479"/>
      <c r="C43" s="93" t="str">
        <f>'2-Définition'!C41</f>
        <v>Enregistrement à bord</v>
      </c>
      <c r="D43" s="92" t="b">
        <v>0</v>
      </c>
      <c r="E43" s="472"/>
      <c r="F43" s="472"/>
      <c r="G43" s="113"/>
    </row>
    <row r="44" spans="1:7" ht="15">
      <c r="A44" s="479"/>
      <c r="B44" s="479"/>
      <c r="C44" s="93" t="str">
        <f>'2-Définition'!C42</f>
        <v>Réception au sol</v>
      </c>
      <c r="D44" s="92" t="b">
        <v>0</v>
      </c>
      <c r="E44" s="472"/>
      <c r="F44" s="472"/>
      <c r="G44" s="113"/>
    </row>
    <row r="45" spans="1:7" ht="12" customHeight="1">
      <c r="A45" s="451"/>
      <c r="B45" s="451"/>
      <c r="C45" s="451"/>
      <c r="D45" s="451"/>
      <c r="E45" s="451"/>
      <c r="F45" s="451"/>
      <c r="G45" s="113"/>
    </row>
    <row r="46" spans="1:7" ht="15">
      <c r="A46" s="444" t="s">
        <v>242</v>
      </c>
      <c r="B46" s="444"/>
      <c r="C46" s="444"/>
      <c r="D46" s="463" t="s">
        <v>11</v>
      </c>
      <c r="E46" s="463"/>
      <c r="F46" s="463"/>
      <c r="G46" s="113"/>
    </row>
    <row r="47" spans="1:7" ht="15">
      <c r="A47" s="444" t="s">
        <v>243</v>
      </c>
      <c r="B47" s="444"/>
      <c r="C47" s="444"/>
      <c r="D47" s="94" t="b">
        <v>0</v>
      </c>
      <c r="E47" s="472"/>
      <c r="F47" s="472"/>
      <c r="G47" s="113"/>
    </row>
    <row r="48" spans="1:7" ht="12" customHeight="1">
      <c r="A48" s="491"/>
      <c r="B48" s="491"/>
      <c r="C48" s="491"/>
      <c r="D48" s="491"/>
      <c r="E48" s="491"/>
      <c r="F48" s="491"/>
      <c r="G48" s="113"/>
    </row>
    <row r="49" spans="1:7" ht="6" customHeight="1">
      <c r="A49" s="459"/>
      <c r="B49" s="459"/>
      <c r="C49" s="459"/>
      <c r="D49" s="459"/>
      <c r="E49" s="459"/>
      <c r="F49" s="459"/>
      <c r="G49" s="113"/>
    </row>
    <row r="50" spans="1:7" ht="15" customHeight="1">
      <c r="A50" s="449" t="str">
        <f>'2-Définition'!A45</f>
        <v>TELEMESURE</v>
      </c>
      <c r="B50" s="449"/>
      <c r="C50" s="449"/>
      <c r="D50" s="449"/>
      <c r="E50" s="449"/>
      <c r="F50" s="449"/>
      <c r="G50" s="113"/>
    </row>
    <row r="51" spans="1:7" ht="12" customHeight="1">
      <c r="A51" s="450" t="str">
        <f>'2-Définition'!A46</f>
        <v>Ne renseignez cette partie que si vous envisagez l'utilisation d'un émetteur dans de votre projet.</v>
      </c>
      <c r="B51" s="450"/>
      <c r="C51" s="450"/>
      <c r="D51" s="450"/>
      <c r="E51" s="450"/>
      <c r="F51" s="450"/>
      <c r="G51" s="113"/>
    </row>
    <row r="52" spans="1:7" ht="12" customHeight="1">
      <c r="A52" s="460" t="str">
        <f>'2-Définition'!A47</f>
        <v>* Ce mode est utilisé pour transmettre plus de 4 signaux analogiques. Chaque signal est compris entre 0 et 5V</v>
      </c>
      <c r="B52" s="460"/>
      <c r="C52" s="460"/>
      <c r="D52" s="460"/>
      <c r="E52" s="460"/>
      <c r="F52" s="460"/>
      <c r="G52" s="113"/>
    </row>
    <row r="53" spans="1:7" ht="12" customHeight="1">
      <c r="A53" s="460" t="str">
        <f>'2-Définition'!A48</f>
        <v>** Cochez cette case si vous envisagez l'utilisation d'une fréquence nécssitant une licence radio-amateur</v>
      </c>
      <c r="B53" s="460"/>
      <c r="C53" s="460"/>
      <c r="D53" s="460"/>
      <c r="E53" s="460"/>
      <c r="F53" s="460"/>
      <c r="G53" s="113"/>
    </row>
    <row r="54" spans="1:7" ht="12" customHeight="1">
      <c r="A54" s="451"/>
      <c r="B54" s="451"/>
      <c r="C54" s="451"/>
      <c r="D54" s="451"/>
      <c r="E54" s="451"/>
      <c r="F54" s="451"/>
      <c r="G54" s="113"/>
    </row>
    <row r="55" spans="1:7" ht="12.75" customHeight="1">
      <c r="A55" s="444" t="str">
        <f>'2-Définition'!A50</f>
        <v>Indiquez l'émetteur principal utilisé</v>
      </c>
      <c r="B55" s="444"/>
      <c r="C55" s="87" t="str">
        <f>'1-Déclaration'!B50</f>
        <v>Autre (précisez)</v>
      </c>
      <c r="D55" s="463">
        <f>IF(C55="Autre (précisez)",'1-Déclaration'!C50,"")</f>
        <v>0</v>
      </c>
      <c r="E55" s="463"/>
      <c r="F55" s="463"/>
      <c r="G55" s="113"/>
    </row>
    <row r="56" spans="1:7" ht="12" customHeight="1">
      <c r="A56" s="451"/>
      <c r="B56" s="451"/>
      <c r="C56" s="451"/>
      <c r="D56" s="451"/>
      <c r="E56" s="451"/>
      <c r="F56" s="451"/>
      <c r="G56" s="113"/>
    </row>
    <row r="57" spans="1:7" ht="15">
      <c r="A57" s="474" t="str">
        <f>IF(C55="Autre (précisez)","Précisez la fréquence utilisée :","")</f>
        <v>Précisez la fréquence utilisée :</v>
      </c>
      <c r="B57" s="474"/>
      <c r="C57" s="463" t="str">
        <f>IF('2-Définition'!C52="","",'2-Définition'!C52)</f>
        <v>2250MHz</v>
      </c>
      <c r="D57" s="463"/>
      <c r="E57" s="463"/>
      <c r="F57" s="463"/>
      <c r="G57" s="113"/>
    </row>
    <row r="58" spans="1:7" ht="15">
      <c r="A58" s="474" t="str">
        <f>IF(C55="Autre (précisez)","Précisez la puissance délivrée :","")</f>
        <v>Précisez la puissance délivrée :</v>
      </c>
      <c r="B58" s="474"/>
      <c r="C58" s="463" t="str">
        <f>IF('2-Définition'!C53="","",'2-Définition'!C53)</f>
        <v>1W</v>
      </c>
      <c r="D58" s="463"/>
      <c r="E58" s="463"/>
      <c r="F58" s="463"/>
      <c r="G58" s="113"/>
    </row>
    <row r="59" spans="1:7" ht="12" customHeight="1">
      <c r="A59" s="451"/>
      <c r="B59" s="451"/>
      <c r="C59" s="451"/>
      <c r="D59" s="451"/>
      <c r="E59" s="451"/>
      <c r="F59" s="451"/>
      <c r="G59" s="113"/>
    </row>
    <row r="60" spans="1:7" ht="15">
      <c r="A60" s="476" t="s">
        <v>143</v>
      </c>
      <c r="B60" s="476"/>
      <c r="C60" s="476"/>
      <c r="D60" s="94" t="b">
        <v>0</v>
      </c>
      <c r="E60" s="534"/>
      <c r="F60" s="534"/>
      <c r="G60" s="113"/>
    </row>
    <row r="61" spans="1:7" ht="15">
      <c r="A61" s="476" t="s">
        <v>244</v>
      </c>
      <c r="B61" s="476"/>
      <c r="C61" s="476"/>
      <c r="D61" s="114" t="b">
        <v>0</v>
      </c>
      <c r="E61" s="535"/>
      <c r="F61" s="535" t="b">
        <f>FALSE</f>
        <v>0</v>
      </c>
      <c r="G61" s="113"/>
    </row>
    <row r="62" spans="1:7" ht="12" customHeight="1">
      <c r="A62" s="451"/>
      <c r="B62" s="451"/>
      <c r="C62" s="451"/>
      <c r="D62" s="451"/>
      <c r="E62" s="451"/>
      <c r="F62" s="451"/>
      <c r="G62" s="113"/>
    </row>
    <row r="63" spans="1:7" ht="15">
      <c r="A63" s="444" t="str">
        <f>'2-Définition'!A57</f>
        <v>Indiquez le type de la télémesure</v>
      </c>
      <c r="B63" s="444"/>
      <c r="C63" s="95" t="s">
        <v>11</v>
      </c>
      <c r="D63" s="472"/>
      <c r="E63" s="472"/>
      <c r="F63" s="472"/>
      <c r="G63" s="113"/>
    </row>
    <row r="64" spans="1:7" ht="15">
      <c r="A64" s="457">
        <f>IF(C63="Numérique","Décrivez la trame :",IF(C63="Analogique - IRIG","Indiquez les canaux  IRIG :",""))</f>
      </c>
      <c r="B64" s="457"/>
      <c r="C64" s="458">
        <f>IF('2-Définition'!C58="","",'2-Définition'!C58)</f>
      </c>
      <c r="D64" s="458"/>
      <c r="E64" s="458"/>
      <c r="F64" s="458"/>
      <c r="G64" s="113"/>
    </row>
    <row r="65" spans="1:6" ht="15" customHeight="1">
      <c r="A65" s="457"/>
      <c r="B65" s="457"/>
      <c r="C65" s="458"/>
      <c r="D65" s="458"/>
      <c r="E65" s="458"/>
      <c r="F65" s="458"/>
    </row>
    <row r="66" spans="1:6" ht="15" customHeight="1">
      <c r="A66" s="457"/>
      <c r="B66" s="457"/>
      <c r="C66" s="458"/>
      <c r="D66" s="458"/>
      <c r="E66" s="458"/>
      <c r="F66" s="458"/>
    </row>
    <row r="67" spans="1:6" ht="24" customHeight="1">
      <c r="A67" s="464" t="str">
        <f>'2-Définition'!A61</f>
        <v>Envisagez-vous de faire votre propre logiciel pour décoder votre télémesure ?</v>
      </c>
      <c r="B67" s="464"/>
      <c r="C67" s="96" t="s">
        <v>11</v>
      </c>
      <c r="D67" s="496"/>
      <c r="E67" s="496"/>
      <c r="F67" s="496"/>
    </row>
    <row r="68" spans="1:7" ht="12" customHeight="1">
      <c r="A68" s="451"/>
      <c r="B68" s="451"/>
      <c r="C68" s="451"/>
      <c r="D68" s="451"/>
      <c r="E68" s="451"/>
      <c r="F68" s="451"/>
      <c r="G68" s="113"/>
    </row>
    <row r="69" spans="1:7" ht="12" customHeight="1">
      <c r="A69" s="444" t="s">
        <v>245</v>
      </c>
      <c r="B69" s="444"/>
      <c r="C69" s="465"/>
      <c r="D69" s="465"/>
      <c r="E69" s="465"/>
      <c r="F69" s="465"/>
      <c r="G69" s="113"/>
    </row>
    <row r="70" spans="1:7" ht="12" customHeight="1">
      <c r="A70" s="451"/>
      <c r="B70" s="451"/>
      <c r="C70" s="451"/>
      <c r="D70" s="451"/>
      <c r="E70" s="451"/>
      <c r="F70" s="451"/>
      <c r="G70" s="113"/>
    </row>
    <row r="71" spans="1:6" ht="15" customHeight="1">
      <c r="A71" s="471" t="s">
        <v>246</v>
      </c>
      <c r="B71" s="471"/>
      <c r="C71" s="87" t="s">
        <v>11</v>
      </c>
      <c r="D71" s="472"/>
      <c r="E71" s="472"/>
      <c r="F71" s="472"/>
    </row>
    <row r="72" spans="1:6" ht="30" customHeight="1">
      <c r="A72" s="533">
        <f>IF(C71="Oui","Précisez rôle(s), fréquence(s), puissance(s) et autonomie(s)","")</f>
      </c>
      <c r="B72" s="533"/>
      <c r="C72" s="458"/>
      <c r="D72" s="458"/>
      <c r="E72" s="458"/>
      <c r="F72" s="458"/>
    </row>
    <row r="73" spans="1:7" ht="12" customHeight="1">
      <c r="A73" s="451"/>
      <c r="B73" s="451"/>
      <c r="C73" s="451"/>
      <c r="D73" s="451"/>
      <c r="E73" s="451"/>
      <c r="F73" s="451"/>
      <c r="G73" s="113"/>
    </row>
    <row r="74" spans="1:7" ht="6" customHeight="1">
      <c r="A74" s="456"/>
      <c r="B74" s="456"/>
      <c r="C74" s="456"/>
      <c r="D74" s="456"/>
      <c r="E74" s="456"/>
      <c r="F74" s="456"/>
      <c r="G74" s="113"/>
    </row>
    <row r="75" spans="1:6" ht="15" customHeight="1">
      <c r="A75" s="449" t="str">
        <f>'2-Définition'!A66</f>
        <v>SYSTEME DE RECUPERATION</v>
      </c>
      <c r="B75" s="449"/>
      <c r="C75" s="449"/>
      <c r="D75" s="449"/>
      <c r="E75" s="449"/>
      <c r="F75" s="449"/>
    </row>
    <row r="76" spans="1:6" ht="12" customHeight="1">
      <c r="A76" s="448"/>
      <c r="B76" s="448"/>
      <c r="C76" s="448"/>
      <c r="D76" s="448"/>
      <c r="E76" s="448"/>
      <c r="F76" s="448"/>
    </row>
    <row r="77" spans="1:6" ht="30" customHeight="1">
      <c r="A77" s="464" t="str">
        <f>'2-Définition'!A68</f>
        <v>Indiquez le type de système de ralentisseur prévu</v>
      </c>
      <c r="B77" s="464"/>
      <c r="C77" s="96" t="s">
        <v>11</v>
      </c>
      <c r="D77" s="532"/>
      <c r="E77" s="532"/>
      <c r="F77" s="532"/>
    </row>
    <row r="78" spans="1:7" ht="15" customHeight="1">
      <c r="A78" s="457" t="s">
        <v>247</v>
      </c>
      <c r="B78" s="457"/>
      <c r="C78" s="458"/>
      <c r="D78" s="458"/>
      <c r="E78" s="458"/>
      <c r="F78" s="458"/>
      <c r="G78" s="10"/>
    </row>
    <row r="79" spans="1:7" ht="12" customHeight="1">
      <c r="A79" s="531"/>
      <c r="B79" s="531"/>
      <c r="C79" s="531"/>
      <c r="D79" s="531"/>
      <c r="E79" s="531"/>
      <c r="F79" s="531"/>
      <c r="G79" s="113"/>
    </row>
    <row r="80" spans="1:6" ht="24" customHeight="1">
      <c r="A80" s="464" t="str">
        <f>'2-Définition'!A70</f>
        <v>Indiquez le type de séparation que vous comptez utiliser</v>
      </c>
      <c r="B80" s="464"/>
      <c r="C80" s="96" t="s">
        <v>11</v>
      </c>
      <c r="D80" s="532"/>
      <c r="E80" s="532"/>
      <c r="F80" s="532"/>
    </row>
    <row r="81" spans="1:6" ht="12">
      <c r="A81" s="451"/>
      <c r="B81" s="451"/>
      <c r="C81" s="451"/>
      <c r="D81" s="451"/>
      <c r="E81" s="451"/>
      <c r="F81" s="451"/>
    </row>
    <row r="82" spans="1:7" ht="15" customHeight="1">
      <c r="A82" s="466" t="str">
        <f>'2-Définition'!A72</f>
        <v>Indiquez les systèmes utilisés pour mettre en œuvre votre séparation et déployer votre ralentisseur
(plusieurs choix possibles)</v>
      </c>
      <c r="B82" s="466"/>
      <c r="C82" s="93" t="str">
        <f>'2-Définition'!C72</f>
        <v>Jack</v>
      </c>
      <c r="D82" s="94" t="b">
        <v>0</v>
      </c>
      <c r="E82" s="93" t="str">
        <f>'2-Définition'!E72</f>
        <v>Ventouse magnétique</v>
      </c>
      <c r="F82" s="98" t="b">
        <v>0</v>
      </c>
      <c r="G82" s="10"/>
    </row>
    <row r="83" spans="1:7" ht="15" customHeight="1">
      <c r="A83" s="466"/>
      <c r="B83" s="466"/>
      <c r="C83" s="93" t="str">
        <f>'2-Définition'!C73</f>
        <v>Minuterie</v>
      </c>
      <c r="D83" s="94" t="b">
        <v>0</v>
      </c>
      <c r="E83" s="93" t="str">
        <f>'2-Définition'!E73</f>
        <v>Inflammateur</v>
      </c>
      <c r="F83" s="98" t="b">
        <v>0</v>
      </c>
      <c r="G83" s="113"/>
    </row>
    <row r="84" spans="1:7" ht="15" customHeight="1">
      <c r="A84" s="466"/>
      <c r="B84" s="466"/>
      <c r="C84" s="93" t="str">
        <f>'2-Définition'!C74</f>
        <v>Servo-Moteur</v>
      </c>
      <c r="D84" s="94" t="b">
        <v>0</v>
      </c>
      <c r="E84" s="93" t="str">
        <f>'2-Définition'!E74</f>
        <v>Vérin pneumatique</v>
      </c>
      <c r="F84" s="99" t="b">
        <v>0</v>
      </c>
      <c r="G84" s="10"/>
    </row>
    <row r="85" spans="1:7" ht="30" customHeight="1">
      <c r="A85" s="466"/>
      <c r="B85" s="466"/>
      <c r="C85" s="100" t="str">
        <f>'2-Définition'!C75</f>
        <v>Autre (précisez)</v>
      </c>
      <c r="D85" s="115" t="b">
        <v>0</v>
      </c>
      <c r="E85" s="467"/>
      <c r="F85" s="467"/>
      <c r="G85" s="113"/>
    </row>
    <row r="86" spans="1:7" ht="12" customHeight="1">
      <c r="A86" s="451"/>
      <c r="B86" s="451"/>
      <c r="C86" s="451"/>
      <c r="D86" s="451"/>
      <c r="E86" s="451"/>
      <c r="F86" s="451"/>
      <c r="G86" s="113"/>
    </row>
    <row r="87" spans="1:7" ht="15" customHeight="1">
      <c r="A87" s="480" t="s">
        <v>762</v>
      </c>
      <c r="B87" s="480"/>
      <c r="C87" s="458"/>
      <c r="D87" s="458"/>
      <c r="E87" s="458"/>
      <c r="F87" s="458"/>
      <c r="G87" s="10"/>
    </row>
    <row r="88" spans="1:7" ht="12" customHeight="1">
      <c r="A88" s="451"/>
      <c r="B88" s="451"/>
      <c r="C88" s="451"/>
      <c r="D88" s="451"/>
      <c r="E88" s="451"/>
      <c r="F88" s="451"/>
      <c r="G88" s="113"/>
    </row>
    <row r="89" spans="1:7" ht="6" customHeight="1">
      <c r="A89" s="488"/>
      <c r="B89" s="488"/>
      <c r="C89" s="488"/>
      <c r="D89" s="488"/>
      <c r="E89" s="488"/>
      <c r="F89" s="488"/>
      <c r="G89" s="113"/>
    </row>
    <row r="90" spans="1:7" ht="15" customHeight="1">
      <c r="A90" s="449" t="str">
        <f>'2-Définition'!A78</f>
        <v>MECANIQUE</v>
      </c>
      <c r="B90" s="449"/>
      <c r="C90" s="449"/>
      <c r="D90" s="449"/>
      <c r="E90" s="449"/>
      <c r="F90" s="449"/>
      <c r="G90" s="113"/>
    </row>
    <row r="91" spans="1:6" ht="12" customHeight="1">
      <c r="A91" s="450" t="str">
        <f>'2-Définition'!A79</f>
        <v>Cette partie concerne seulement les fusées, pas les ballons.</v>
      </c>
      <c r="B91" s="450"/>
      <c r="C91" s="450"/>
      <c r="D91" s="450"/>
      <c r="E91" s="450"/>
      <c r="F91" s="450"/>
    </row>
    <row r="92" spans="1:7" ht="12" customHeight="1">
      <c r="A92" s="451"/>
      <c r="B92" s="451"/>
      <c r="C92" s="451"/>
      <c r="D92" s="451"/>
      <c r="E92" s="451"/>
      <c r="F92" s="451"/>
      <c r="G92" s="113"/>
    </row>
    <row r="93" spans="1:6" ht="15" customHeight="1">
      <c r="A93" s="444" t="str">
        <f>'2-Définition'!A83</f>
        <v>Quelle partie de la fusée reprend les efforts de la poussée ?</v>
      </c>
      <c r="B93" s="444"/>
      <c r="C93" s="444"/>
      <c r="D93" s="463" t="str">
        <f>'2-Définition'!D83</f>
        <v>La peau</v>
      </c>
      <c r="E93" s="463"/>
      <c r="F93" s="463"/>
    </row>
    <row r="94" spans="1:6" ht="12">
      <c r="A94" s="451"/>
      <c r="B94" s="451"/>
      <c r="C94" s="451"/>
      <c r="D94" s="451"/>
      <c r="E94" s="451"/>
      <c r="F94" s="451"/>
    </row>
    <row r="95" spans="1:7" ht="12" customHeight="1">
      <c r="A95" s="444" t="s">
        <v>248</v>
      </c>
      <c r="B95" s="444"/>
      <c r="C95" s="444"/>
      <c r="D95" s="94" t="b">
        <v>0</v>
      </c>
      <c r="E95" s="530"/>
      <c r="F95" s="530"/>
      <c r="G95" s="113"/>
    </row>
    <row r="96" spans="1:7" ht="15" customHeight="1">
      <c r="A96" s="444" t="s">
        <v>249</v>
      </c>
      <c r="B96" s="444"/>
      <c r="C96" s="444"/>
      <c r="D96" s="94" t="b">
        <v>0</v>
      </c>
      <c r="E96" s="530"/>
      <c r="F96" s="530"/>
      <c r="G96" s="113"/>
    </row>
    <row r="97" spans="1:6" ht="15" customHeight="1">
      <c r="A97" s="451"/>
      <c r="B97" s="451"/>
      <c r="C97" s="451"/>
      <c r="D97" s="451"/>
      <c r="E97" s="451"/>
      <c r="F97" s="451"/>
    </row>
    <row r="98" spans="1:7" ht="6" customHeight="1">
      <c r="A98" s="488"/>
      <c r="B98" s="488"/>
      <c r="C98" s="488"/>
      <c r="D98" s="488"/>
      <c r="E98" s="488"/>
      <c r="F98" s="488"/>
      <c r="G98" s="113"/>
    </row>
    <row r="99" spans="1:6" ht="15" customHeight="1">
      <c r="A99" s="449" t="s">
        <v>250</v>
      </c>
      <c r="B99" s="449"/>
      <c r="C99" s="449"/>
      <c r="D99" s="449"/>
      <c r="E99" s="449"/>
      <c r="F99" s="449"/>
    </row>
    <row r="100" spans="1:7" ht="12" customHeight="1">
      <c r="A100" s="451"/>
      <c r="B100" s="451"/>
      <c r="C100" s="451"/>
      <c r="D100" s="451"/>
      <c r="E100" s="451"/>
      <c r="F100" s="451"/>
      <c r="G100" s="113"/>
    </row>
    <row r="101" spans="1:7" ht="15" customHeight="1">
      <c r="A101" s="444" t="s">
        <v>251</v>
      </c>
      <c r="B101" s="444"/>
      <c r="C101" s="444"/>
      <c r="D101" s="94" t="b">
        <v>0</v>
      </c>
      <c r="E101" s="528"/>
      <c r="F101" s="528"/>
      <c r="G101" s="113"/>
    </row>
    <row r="102" spans="1:6" ht="15" customHeight="1">
      <c r="A102" s="451"/>
      <c r="B102" s="451"/>
      <c r="C102" s="451"/>
      <c r="D102" s="451"/>
      <c r="E102" s="451"/>
      <c r="F102" s="451"/>
    </row>
    <row r="103" spans="1:7" ht="6" customHeight="1">
      <c r="A103" s="529"/>
      <c r="B103" s="529"/>
      <c r="C103" s="529"/>
      <c r="D103" s="529"/>
      <c r="E103" s="529"/>
      <c r="F103" s="529"/>
      <c r="G103" s="113"/>
    </row>
    <row r="104" spans="1:7" ht="15" customHeight="1">
      <c r="A104" s="449" t="str">
        <f>'2-Définition'!A86</f>
        <v>INFORMATIQUE</v>
      </c>
      <c r="B104" s="449"/>
      <c r="C104" s="449"/>
      <c r="D104" s="449"/>
      <c r="E104" s="449"/>
      <c r="F104" s="449"/>
      <c r="G104" s="113"/>
    </row>
    <row r="105" spans="1:6" ht="12" customHeight="1">
      <c r="A105" s="450" t="str">
        <f>'2-Définition'!A87</f>
        <v>Renseignez cette partie seulement si vous pensez utiliser un ou plusieurs microcontrolleur(s) dans votre projet.</v>
      </c>
      <c r="B105" s="450"/>
      <c r="C105" s="450"/>
      <c r="D105" s="450"/>
      <c r="E105" s="450"/>
      <c r="F105" s="450"/>
    </row>
    <row r="106" spans="1:7" ht="12" customHeight="1">
      <c r="A106" s="451"/>
      <c r="B106" s="451"/>
      <c r="C106" s="451"/>
      <c r="D106" s="451"/>
      <c r="E106" s="451"/>
      <c r="F106" s="451"/>
      <c r="G106" s="113"/>
    </row>
    <row r="107" spans="1:6" ht="15" customHeight="1">
      <c r="A107" s="444" t="s">
        <v>252</v>
      </c>
      <c r="B107" s="444"/>
      <c r="C107" s="87" t="s">
        <v>11</v>
      </c>
      <c r="D107" s="514"/>
      <c r="E107" s="514"/>
      <c r="F107" s="514"/>
    </row>
    <row r="108" spans="1:7" ht="12" customHeight="1">
      <c r="A108" s="451"/>
      <c r="B108" s="451"/>
      <c r="C108" s="451"/>
      <c r="D108" s="451"/>
      <c r="E108" s="451"/>
      <c r="F108" s="451"/>
      <c r="G108" s="113"/>
    </row>
    <row r="109" spans="1:6" ht="15" customHeight="1">
      <c r="A109" s="525">
        <f>IF(C107="Oui","Indiquez le nombre de microcontrolleur(s) :","")</f>
      </c>
      <c r="B109" s="525"/>
      <c r="C109" s="475"/>
      <c r="D109" s="475"/>
      <c r="E109" s="475"/>
      <c r="F109" s="475"/>
    </row>
    <row r="110" spans="1:7" ht="8.25" customHeight="1">
      <c r="A110" s="451"/>
      <c r="B110" s="451"/>
      <c r="C110" s="451"/>
      <c r="D110" s="451"/>
      <c r="E110" s="451"/>
      <c r="F110" s="451"/>
      <c r="G110" s="113"/>
    </row>
    <row r="111" spans="1:7" ht="12" customHeight="1">
      <c r="A111" s="480">
        <f>IF(C107="Oui","Précisez leur rôle(s) :","")</f>
      </c>
      <c r="B111" s="481"/>
      <c r="C111" s="526"/>
      <c r="D111" s="526"/>
      <c r="E111" s="526"/>
      <c r="F111" s="527"/>
      <c r="G111" s="113"/>
    </row>
    <row r="112" spans="1:7" ht="15">
      <c r="A112" s="480"/>
      <c r="B112" s="481"/>
      <c r="C112" s="526"/>
      <c r="D112" s="526"/>
      <c r="E112" s="526"/>
      <c r="F112" s="527"/>
      <c r="G112" s="113"/>
    </row>
    <row r="113" spans="1:6" ht="9" customHeight="1" thickBot="1">
      <c r="A113" s="523"/>
      <c r="B113" s="432"/>
      <c r="C113" s="432"/>
      <c r="D113" s="432"/>
      <c r="E113" s="432"/>
      <c r="F113" s="524"/>
    </row>
    <row r="114" spans="1:7" ht="6" customHeight="1" thickBot="1">
      <c r="A114" s="459"/>
      <c r="B114" s="459"/>
      <c r="C114" s="459"/>
      <c r="D114" s="459"/>
      <c r="E114" s="459"/>
      <c r="F114" s="459"/>
      <c r="G114" s="113"/>
    </row>
    <row r="115" spans="1:7" ht="15" customHeight="1">
      <c r="A115" s="449" t="str">
        <f>'2-Définition'!A97</f>
        <v>SECURITE</v>
      </c>
      <c r="B115" s="449"/>
      <c r="C115" s="449"/>
      <c r="D115" s="449"/>
      <c r="E115" s="449"/>
      <c r="F115" s="449"/>
      <c r="G115" s="113"/>
    </row>
    <row r="116" spans="1:7" ht="12" customHeight="1">
      <c r="A116" s="450" t="s">
        <v>254</v>
      </c>
      <c r="B116" s="450"/>
      <c r="C116" s="450"/>
      <c r="D116" s="450"/>
      <c r="E116" s="450"/>
      <c r="F116" s="450"/>
      <c r="G116" s="113"/>
    </row>
    <row r="117" spans="1:7" ht="12" customHeight="1">
      <c r="A117" s="460" t="str">
        <f>'2-Définition'!A98</f>
        <v>* On entend par système pyrotechnique, tout système autre qu'un inflammateur Davey-Bickford.</v>
      </c>
      <c r="B117" s="460"/>
      <c r="C117" s="460"/>
      <c r="D117" s="460"/>
      <c r="E117" s="460"/>
      <c r="F117" s="460"/>
      <c r="G117" s="113"/>
    </row>
    <row r="118" spans="1:7" ht="12" customHeight="1">
      <c r="A118" s="451"/>
      <c r="B118" s="451"/>
      <c r="C118" s="451"/>
      <c r="D118" s="451"/>
      <c r="E118" s="451"/>
      <c r="F118" s="451"/>
      <c r="G118" s="113"/>
    </row>
    <row r="119" spans="1:7" ht="15" customHeight="1">
      <c r="A119" s="444" t="s">
        <v>255</v>
      </c>
      <c r="B119" s="444"/>
      <c r="C119" s="444"/>
      <c r="D119" s="458" t="s">
        <v>11</v>
      </c>
      <c r="E119" s="458"/>
      <c r="F119" s="458"/>
      <c r="G119" s="113"/>
    </row>
    <row r="120" spans="1:7" ht="30" customHeight="1">
      <c r="A120" s="457">
        <f>IF(D119="Oui","Précisez :","")</f>
      </c>
      <c r="B120" s="457"/>
      <c r="C120" s="467">
        <f>IF('2-Définition'!C101="","",'2-Définition'!C101)</f>
      </c>
      <c r="D120" s="467"/>
      <c r="E120" s="467"/>
      <c r="F120" s="467"/>
      <c r="G120" s="113"/>
    </row>
    <row r="121" spans="1:7" ht="12" customHeight="1">
      <c r="A121" s="451"/>
      <c r="B121" s="451"/>
      <c r="C121" s="451"/>
      <c r="D121" s="451"/>
      <c r="E121" s="451"/>
      <c r="F121" s="451"/>
      <c r="G121" s="113"/>
    </row>
    <row r="122" spans="1:7" ht="15" customHeight="1">
      <c r="A122" s="444" t="s">
        <v>256</v>
      </c>
      <c r="B122" s="444"/>
      <c r="C122" s="444"/>
      <c r="D122" s="458" t="s">
        <v>11</v>
      </c>
      <c r="E122" s="458"/>
      <c r="F122" s="458"/>
      <c r="G122" s="113"/>
    </row>
    <row r="123" spans="1:7" ht="30" customHeight="1">
      <c r="A123" s="457">
        <f>IF(D122="Oui","Précisez :","")</f>
      </c>
      <c r="B123" s="457"/>
      <c r="C123" s="467">
        <f>IF('2-Définition'!C104="","",'2-Définition'!C104)</f>
      </c>
      <c r="D123" s="467"/>
      <c r="E123" s="467"/>
      <c r="F123" s="467"/>
      <c r="G123" s="113"/>
    </row>
    <row r="124" spans="1:7" ht="12" customHeight="1">
      <c r="A124" s="451"/>
      <c r="B124" s="451"/>
      <c r="C124" s="451"/>
      <c r="D124" s="451"/>
      <c r="E124" s="451"/>
      <c r="F124" s="451"/>
      <c r="G124" s="113"/>
    </row>
    <row r="125" spans="1:7" ht="15" customHeight="1">
      <c r="A125" s="444" t="s">
        <v>257</v>
      </c>
      <c r="B125" s="444"/>
      <c r="C125" s="444"/>
      <c r="D125" s="458" t="s">
        <v>11</v>
      </c>
      <c r="E125" s="458"/>
      <c r="F125" s="458"/>
      <c r="G125" s="113"/>
    </row>
    <row r="126" spans="1:7" ht="30" customHeight="1">
      <c r="A126" s="457">
        <f>IF(D125="Oui","Précisez :","")</f>
      </c>
      <c r="B126" s="457"/>
      <c r="C126" s="467">
        <f>IF('2-Définition'!C107="","",'2-Définition'!C107)</f>
      </c>
      <c r="D126" s="467"/>
      <c r="E126" s="467"/>
      <c r="F126" s="467"/>
      <c r="G126" s="113"/>
    </row>
    <row r="127" spans="1:7" ht="12" customHeight="1">
      <c r="A127" s="521"/>
      <c r="B127" s="521"/>
      <c r="C127" s="521"/>
      <c r="D127" s="521"/>
      <c r="E127" s="521"/>
      <c r="F127" s="521"/>
      <c r="G127" s="113"/>
    </row>
    <row r="128" spans="1:7" ht="15" customHeight="1">
      <c r="A128" s="480" t="s">
        <v>258</v>
      </c>
      <c r="B128" s="480"/>
      <c r="C128" s="480"/>
      <c r="D128" s="458" t="s">
        <v>11</v>
      </c>
      <c r="E128" s="458"/>
      <c r="F128" s="458"/>
      <c r="G128" s="113"/>
    </row>
    <row r="129" spans="1:7" ht="15" customHeight="1">
      <c r="A129" s="480" t="s">
        <v>259</v>
      </c>
      <c r="B129" s="480"/>
      <c r="C129" s="480"/>
      <c r="D129" s="116" t="b">
        <v>0</v>
      </c>
      <c r="E129" s="522"/>
      <c r="F129" s="522"/>
      <c r="G129" s="113"/>
    </row>
    <row r="130" spans="1:6" ht="15" customHeight="1">
      <c r="A130" s="451"/>
      <c r="B130" s="451"/>
      <c r="C130" s="451"/>
      <c r="D130" s="451"/>
      <c r="E130" s="451"/>
      <c r="F130" s="451"/>
    </row>
    <row r="131" spans="1:7" ht="6" customHeight="1">
      <c r="A131" s="488"/>
      <c r="B131" s="488"/>
      <c r="C131" s="488"/>
      <c r="D131" s="488"/>
      <c r="E131" s="488"/>
      <c r="F131" s="488"/>
      <c r="G131" s="113"/>
    </row>
    <row r="132" spans="1:7" ht="15" customHeight="1">
      <c r="A132" s="449" t="str">
        <f>'2-Définition'!A117</f>
        <v>COMMENTAIRES</v>
      </c>
      <c r="B132" s="449"/>
      <c r="C132" s="449"/>
      <c r="D132" s="449"/>
      <c r="E132" s="449"/>
      <c r="F132" s="449"/>
      <c r="G132" s="113"/>
    </row>
    <row r="133" spans="1:7" ht="12" customHeight="1">
      <c r="A133" s="450" t="s">
        <v>260</v>
      </c>
      <c r="B133" s="450"/>
      <c r="C133" s="450"/>
      <c r="D133" s="450"/>
      <c r="E133" s="450"/>
      <c r="F133" s="450"/>
      <c r="G133" s="113"/>
    </row>
    <row r="134" spans="1:6" ht="12" customHeight="1">
      <c r="A134" s="451"/>
      <c r="B134" s="451"/>
      <c r="C134" s="451"/>
      <c r="D134" s="451"/>
      <c r="E134" s="451"/>
      <c r="F134" s="451"/>
    </row>
    <row r="135" spans="1:6" ht="15" customHeight="1">
      <c r="A135" s="519" t="s">
        <v>261</v>
      </c>
      <c r="B135" s="519"/>
      <c r="C135" s="519"/>
      <c r="D135" s="519"/>
      <c r="E135" s="519"/>
      <c r="F135" s="519"/>
    </row>
    <row r="136" spans="1:6" ht="15" customHeight="1">
      <c r="A136" s="517" t="str">
        <f>IF(D95,"","Le schéma général à l'échelle de votre fusée est absent")</f>
        <v>Le schéma général à l'échelle de votre fusée est absent</v>
      </c>
      <c r="B136" s="517"/>
      <c r="C136" s="517"/>
      <c r="D136" s="517"/>
      <c r="E136" s="517"/>
      <c r="F136" s="517"/>
    </row>
    <row r="137" spans="1:6" ht="15" customHeight="1">
      <c r="A137" s="520" t="str">
        <f>IF(D96,"","Le plan de la plaque de poussée est absent")</f>
        <v>Le plan de la plaque de poussée est absent</v>
      </c>
      <c r="B137" s="520"/>
      <c r="C137" s="520"/>
      <c r="D137" s="520"/>
      <c r="E137" s="520"/>
      <c r="F137" s="520"/>
    </row>
    <row r="138" spans="1:6" ht="15" customHeight="1">
      <c r="A138" s="520" t="str">
        <f>IF(D101,"","Le fichier .par issu du logiciel Trajec est absent")</f>
        <v>Le fichier .par issu du logiciel Trajec est absent</v>
      </c>
      <c r="B138" s="520"/>
      <c r="C138" s="520"/>
      <c r="D138" s="520"/>
      <c r="E138" s="520"/>
      <c r="F138" s="520"/>
    </row>
    <row r="139" spans="1:6" ht="15" customHeight="1">
      <c r="A139" s="517">
        <f>IF(D60,IF(D61,"","La copie de l'autorisation du radio-amateur d'utiliser la fréquence souhaitée est absente"),"")</f>
      </c>
      <c r="B139" s="517"/>
      <c r="C139" s="517"/>
      <c r="D139" s="517"/>
      <c r="E139" s="517"/>
      <c r="F139" s="517"/>
    </row>
    <row r="140" spans="1:6" ht="15" customHeight="1">
      <c r="A140" s="517">
        <f>IF(D46="Oui",IF(D47,"","La demande de dérogation liée au projet est absente"),"")</f>
      </c>
      <c r="B140" s="517"/>
      <c r="C140" s="517"/>
      <c r="D140" s="517"/>
      <c r="E140" s="517"/>
      <c r="F140" s="517"/>
    </row>
    <row r="141" spans="1:6" ht="15" customHeight="1">
      <c r="A141" s="517">
        <f>IF(C78&gt;15,"La vitesse de descente est supérieur à celle indiquée dans le Cahier des Charges","")</f>
      </c>
      <c r="B141" s="517"/>
      <c r="C141" s="517"/>
      <c r="D141" s="517"/>
      <c r="E141" s="517"/>
      <c r="F141" s="517"/>
    </row>
    <row r="142" spans="1:6" ht="15" customHeight="1">
      <c r="A142" s="517">
        <f>IF(D128="Oui",IF(D129,"","Le dossier de sécurité lié au projet est absent"),"")</f>
      </c>
      <c r="B142" s="517"/>
      <c r="C142" s="517"/>
      <c r="D142" s="517"/>
      <c r="E142" s="517"/>
      <c r="F142" s="517"/>
    </row>
    <row r="143" spans="1:6" ht="15" customHeight="1">
      <c r="A143" s="518"/>
      <c r="B143" s="518"/>
      <c r="C143" s="518"/>
      <c r="D143" s="518"/>
      <c r="E143" s="518"/>
      <c r="F143" s="518"/>
    </row>
    <row r="144" spans="1:6" ht="15" customHeight="1">
      <c r="A144" s="518"/>
      <c r="B144" s="518"/>
      <c r="C144" s="518"/>
      <c r="D144" s="518"/>
      <c r="E144" s="518"/>
      <c r="F144" s="518"/>
    </row>
    <row r="145" spans="1:6" ht="15" customHeight="1">
      <c r="A145" s="518"/>
      <c r="B145" s="518"/>
      <c r="C145" s="518"/>
      <c r="D145" s="518"/>
      <c r="E145" s="518"/>
      <c r="F145" s="518"/>
    </row>
    <row r="146" spans="1:6" ht="15" customHeight="1">
      <c r="A146" s="518"/>
      <c r="B146" s="518"/>
      <c r="C146" s="518"/>
      <c r="D146" s="518"/>
      <c r="E146" s="518"/>
      <c r="F146" s="518"/>
    </row>
    <row r="147" spans="1:6" ht="15" customHeight="1">
      <c r="A147" s="518"/>
      <c r="B147" s="518"/>
      <c r="C147" s="518"/>
      <c r="D147" s="518"/>
      <c r="E147" s="518"/>
      <c r="F147" s="518"/>
    </row>
    <row r="148" spans="1:6" ht="15" customHeight="1">
      <c r="A148" s="518"/>
      <c r="B148" s="518"/>
      <c r="C148" s="518"/>
      <c r="D148" s="518"/>
      <c r="E148" s="518"/>
      <c r="F148" s="518"/>
    </row>
    <row r="149" spans="1:6" ht="15" customHeight="1">
      <c r="A149" s="518"/>
      <c r="B149" s="518"/>
      <c r="C149" s="518"/>
      <c r="D149" s="518"/>
      <c r="E149" s="518"/>
      <c r="F149" s="518"/>
    </row>
    <row r="150" spans="1:7" ht="15" customHeight="1">
      <c r="A150" s="518"/>
      <c r="B150" s="518"/>
      <c r="C150" s="518"/>
      <c r="D150" s="518"/>
      <c r="E150" s="518"/>
      <c r="F150" s="518"/>
      <c r="G150" s="113"/>
    </row>
    <row r="151" spans="1:7" ht="12" customHeight="1">
      <c r="A151" s="451"/>
      <c r="B151" s="451"/>
      <c r="C151" s="451"/>
      <c r="D151" s="451"/>
      <c r="E151" s="451"/>
      <c r="F151" s="451"/>
      <c r="G151" s="113"/>
    </row>
    <row r="152" spans="1:6" ht="15" customHeight="1">
      <c r="A152" s="519" t="s">
        <v>262</v>
      </c>
      <c r="B152" s="519"/>
      <c r="C152" s="519"/>
      <c r="D152" s="519"/>
      <c r="E152" s="519"/>
      <c r="F152" s="519"/>
    </row>
    <row r="153" spans="1:6" ht="12" customHeight="1">
      <c r="A153" s="451"/>
      <c r="B153" s="451"/>
      <c r="C153" s="451"/>
      <c r="D153" s="451"/>
      <c r="E153" s="451"/>
      <c r="F153" s="451"/>
    </row>
    <row r="154" spans="1:6" ht="15" customHeight="1">
      <c r="A154" s="516"/>
      <c r="B154" s="516"/>
      <c r="C154" s="516"/>
      <c r="D154" s="516"/>
      <c r="E154" s="516"/>
      <c r="F154" s="516"/>
    </row>
    <row r="155" spans="1:6" ht="15" customHeight="1">
      <c r="A155" s="516"/>
      <c r="B155" s="516"/>
      <c r="C155" s="516"/>
      <c r="D155" s="516"/>
      <c r="E155" s="516"/>
      <c r="F155" s="516"/>
    </row>
    <row r="156" spans="1:6" ht="15" customHeight="1">
      <c r="A156" s="516"/>
      <c r="B156" s="516"/>
      <c r="C156" s="516"/>
      <c r="D156" s="516"/>
      <c r="E156" s="516"/>
      <c r="F156" s="516"/>
    </row>
    <row r="157" spans="1:6" ht="15" customHeight="1">
      <c r="A157" s="516"/>
      <c r="B157" s="516"/>
      <c r="C157" s="516"/>
      <c r="D157" s="516"/>
      <c r="E157" s="516"/>
      <c r="F157" s="516"/>
    </row>
    <row r="158" spans="1:6" ht="15" customHeight="1">
      <c r="A158" s="516"/>
      <c r="B158" s="516"/>
      <c r="C158" s="516"/>
      <c r="D158" s="516"/>
      <c r="E158" s="516"/>
      <c r="F158" s="516"/>
    </row>
    <row r="159" spans="1:6" ht="15" customHeight="1">
      <c r="A159" s="516"/>
      <c r="B159" s="516"/>
      <c r="C159" s="516"/>
      <c r="D159" s="516"/>
      <c r="E159" s="516"/>
      <c r="F159" s="516"/>
    </row>
    <row r="160" spans="1:6" ht="15" customHeight="1">
      <c r="A160" s="516"/>
      <c r="B160" s="516"/>
      <c r="C160" s="516"/>
      <c r="D160" s="516"/>
      <c r="E160" s="516"/>
      <c r="F160" s="516"/>
    </row>
    <row r="161" spans="1:6" ht="15" customHeight="1">
      <c r="A161" s="516"/>
      <c r="B161" s="516"/>
      <c r="C161" s="516"/>
      <c r="D161" s="516"/>
      <c r="E161" s="516"/>
      <c r="F161" s="516"/>
    </row>
  </sheetData>
  <sheetProtection password="DD05" sheet="1" objects="1" scenarios="1"/>
  <mergeCells count="179">
    <mergeCell ref="A1:F1"/>
    <mergeCell ref="A2:F2"/>
    <mergeCell ref="A3:F3"/>
    <mergeCell ref="A4:F4"/>
    <mergeCell ref="A10:F10"/>
    <mergeCell ref="A5:F5"/>
    <mergeCell ref="A6:F6"/>
    <mergeCell ref="A8:F8"/>
    <mergeCell ref="A9:F9"/>
    <mergeCell ref="A24:F24"/>
    <mergeCell ref="A18:F18"/>
    <mergeCell ref="B19:C19"/>
    <mergeCell ref="B15:F15"/>
    <mergeCell ref="A17:F17"/>
    <mergeCell ref="D19:F19"/>
    <mergeCell ref="A20:F20"/>
    <mergeCell ref="B21:C21"/>
    <mergeCell ref="D21:F21"/>
    <mergeCell ref="A22:F22"/>
    <mergeCell ref="A11:F11"/>
    <mergeCell ref="B13:F13"/>
    <mergeCell ref="A14:F14"/>
    <mergeCell ref="A32:F32"/>
    <mergeCell ref="A33:B33"/>
    <mergeCell ref="C33:F33"/>
    <mergeCell ref="A25:F25"/>
    <mergeCell ref="A26:F26"/>
    <mergeCell ref="A27:F27"/>
    <mergeCell ref="A28:F28"/>
    <mergeCell ref="A29:B29"/>
    <mergeCell ref="C29:F29"/>
    <mergeCell ref="A30:B30"/>
    <mergeCell ref="C30:F30"/>
    <mergeCell ref="A31:B31"/>
    <mergeCell ref="C31:F31"/>
    <mergeCell ref="C39:F40"/>
    <mergeCell ref="A41:B42"/>
    <mergeCell ref="C41:F42"/>
    <mergeCell ref="A36:F36"/>
    <mergeCell ref="A34:B34"/>
    <mergeCell ref="C34:F34"/>
    <mergeCell ref="A35:B35"/>
    <mergeCell ref="C35:F35"/>
    <mergeCell ref="A45:F45"/>
    <mergeCell ref="A48:F48"/>
    <mergeCell ref="A49:F49"/>
    <mergeCell ref="A50:F50"/>
    <mergeCell ref="A37:B38"/>
    <mergeCell ref="C37:F38"/>
    <mergeCell ref="A43:B44"/>
    <mergeCell ref="E43:F43"/>
    <mergeCell ref="E44:F44"/>
    <mergeCell ref="A39:B40"/>
    <mergeCell ref="C58:F58"/>
    <mergeCell ref="A51:F51"/>
    <mergeCell ref="A46:C46"/>
    <mergeCell ref="D46:F46"/>
    <mergeCell ref="A47:C47"/>
    <mergeCell ref="E47:F47"/>
    <mergeCell ref="C64:F66"/>
    <mergeCell ref="A52:F52"/>
    <mergeCell ref="A53:F53"/>
    <mergeCell ref="A54:F54"/>
    <mergeCell ref="A55:B55"/>
    <mergeCell ref="D55:F55"/>
    <mergeCell ref="A56:F56"/>
    <mergeCell ref="A57:B57"/>
    <mergeCell ref="C57:F57"/>
    <mergeCell ref="A58:B58"/>
    <mergeCell ref="C72:F72"/>
    <mergeCell ref="A59:F59"/>
    <mergeCell ref="A60:C60"/>
    <mergeCell ref="E60:F60"/>
    <mergeCell ref="A61:C61"/>
    <mergeCell ref="E61:F61"/>
    <mergeCell ref="A62:F62"/>
    <mergeCell ref="A63:B63"/>
    <mergeCell ref="D63:F63"/>
    <mergeCell ref="A64:B66"/>
    <mergeCell ref="C78:F78"/>
    <mergeCell ref="A67:B67"/>
    <mergeCell ref="D67:F67"/>
    <mergeCell ref="A68:F68"/>
    <mergeCell ref="A69:B69"/>
    <mergeCell ref="C69:F69"/>
    <mergeCell ref="A70:F70"/>
    <mergeCell ref="A71:B71"/>
    <mergeCell ref="D71:F71"/>
    <mergeCell ref="A72:B72"/>
    <mergeCell ref="A86:F86"/>
    <mergeCell ref="A87:B87"/>
    <mergeCell ref="C87:F87"/>
    <mergeCell ref="A73:F73"/>
    <mergeCell ref="A74:F74"/>
    <mergeCell ref="A75:F75"/>
    <mergeCell ref="A76:F76"/>
    <mergeCell ref="A77:B77"/>
    <mergeCell ref="D77:F77"/>
    <mergeCell ref="A78:B78"/>
    <mergeCell ref="A79:F79"/>
    <mergeCell ref="A80:B80"/>
    <mergeCell ref="D80:F80"/>
    <mergeCell ref="A81:F81"/>
    <mergeCell ref="A82:B85"/>
    <mergeCell ref="E85:F85"/>
    <mergeCell ref="A100:F100"/>
    <mergeCell ref="A88:F88"/>
    <mergeCell ref="A89:F89"/>
    <mergeCell ref="A90:F90"/>
    <mergeCell ref="A91:F91"/>
    <mergeCell ref="A92:F92"/>
    <mergeCell ref="A93:C93"/>
    <mergeCell ref="D93:F93"/>
    <mergeCell ref="A94:F94"/>
    <mergeCell ref="A106:F106"/>
    <mergeCell ref="A107:B107"/>
    <mergeCell ref="D107:F107"/>
    <mergeCell ref="A95:C95"/>
    <mergeCell ref="E95:F95"/>
    <mergeCell ref="A96:C96"/>
    <mergeCell ref="E96:F96"/>
    <mergeCell ref="A97:F97"/>
    <mergeCell ref="A98:F98"/>
    <mergeCell ref="A99:F99"/>
    <mergeCell ref="A101:C101"/>
    <mergeCell ref="E101:F101"/>
    <mergeCell ref="A102:F102"/>
    <mergeCell ref="A103:F103"/>
    <mergeCell ref="A104:F104"/>
    <mergeCell ref="A105:F105"/>
    <mergeCell ref="A113:F113"/>
    <mergeCell ref="A114:F114"/>
    <mergeCell ref="A108:F108"/>
    <mergeCell ref="A109:B109"/>
    <mergeCell ref="C109:F109"/>
    <mergeCell ref="A110:F110"/>
    <mergeCell ref="A111:B112"/>
    <mergeCell ref="C111:F112"/>
    <mergeCell ref="C126:F126"/>
    <mergeCell ref="A115:F115"/>
    <mergeCell ref="A116:F116"/>
    <mergeCell ref="A117:F117"/>
    <mergeCell ref="A118:F118"/>
    <mergeCell ref="A119:C119"/>
    <mergeCell ref="D119:F119"/>
    <mergeCell ref="A120:B120"/>
    <mergeCell ref="C120:F120"/>
    <mergeCell ref="A133:F133"/>
    <mergeCell ref="A121:F121"/>
    <mergeCell ref="A122:C122"/>
    <mergeCell ref="D122:F122"/>
    <mergeCell ref="A123:B123"/>
    <mergeCell ref="C123:F123"/>
    <mergeCell ref="A124:F124"/>
    <mergeCell ref="A125:C125"/>
    <mergeCell ref="D125:F125"/>
    <mergeCell ref="A126:B126"/>
    <mergeCell ref="A140:F140"/>
    <mergeCell ref="A141:F141"/>
    <mergeCell ref="A127:F127"/>
    <mergeCell ref="A128:C128"/>
    <mergeCell ref="D128:F128"/>
    <mergeCell ref="A129:C129"/>
    <mergeCell ref="E129:F129"/>
    <mergeCell ref="A130:F130"/>
    <mergeCell ref="A131:F131"/>
    <mergeCell ref="A132:F132"/>
    <mergeCell ref="A134:F134"/>
    <mergeCell ref="A135:F135"/>
    <mergeCell ref="A136:F136"/>
    <mergeCell ref="A137:F137"/>
    <mergeCell ref="A138:F138"/>
    <mergeCell ref="A139:F139"/>
    <mergeCell ref="A153:F153"/>
    <mergeCell ref="A154:F161"/>
    <mergeCell ref="A142:F142"/>
    <mergeCell ref="A143:F150"/>
    <mergeCell ref="A151:F151"/>
    <mergeCell ref="A152:F152"/>
  </mergeCells>
  <conditionalFormatting sqref="B19:C19 B21:C21 C55 C63 C67:D67 C71 C77 C80 C107 D46:F46 D93 D119 D122 D125 D128">
    <cfRule type="cellIs" priority="1" dxfId="0" operator="equal" stopIfTrue="1">
      <formula>"Sélectionner …"</formula>
    </cfRule>
  </conditionalFormatting>
  <dataValidations count="9">
    <dataValidation type="list" allowBlank="1" showErrorMessage="1" sqref="C63">
      <formula1>TypeTelemesure</formula1>
      <formula2>0</formula2>
    </dataValidation>
    <dataValidation type="list" allowBlank="1" showErrorMessage="1" sqref="D46:E46 D128:F128 D125:F125 D122:F122 D119:F119 C107 C71 C67">
      <formula1>TypeQuestion</formula1>
      <formula2>0</formula2>
    </dataValidation>
    <dataValidation type="list" allowBlank="1" showErrorMessage="1" sqref="D93">
      <formula1>TypeStructure</formula1>
      <formula2>0</formula2>
    </dataValidation>
    <dataValidation type="whole" operator="greaterThan" allowBlank="1" showErrorMessage="1" sqref="C78 C87">
      <formula1>1</formula1>
    </dataValidation>
    <dataValidation type="list" allowBlank="1" showErrorMessage="1" sqref="C77">
      <formula1>TypeRalentisseurs</formula1>
      <formula2>0</formula2>
    </dataValidation>
    <dataValidation type="list" allowBlank="1" showErrorMessage="1" sqref="C80">
      <formula1>TypeSeparations</formula1>
      <formula2>0</formula2>
    </dataValidation>
    <dataValidation type="list" allowBlank="1" showErrorMessage="1" sqref="B19:C19">
      <formula1>TypeProjets</formula1>
      <formula2>0</formula2>
    </dataValidation>
    <dataValidation type="list" allowBlank="1" showErrorMessage="1" sqref="B21:C21">
      <formula1>TypeMoteurs</formula1>
      <formula2>0</formula2>
    </dataValidation>
    <dataValidation type="list" allowBlank="1" showErrorMessage="1" sqref="C55">
      <formula1>TypeEmetteurs</formula1>
      <formula2>0</formula2>
    </dataValidation>
  </dataValidations>
  <printOptions horizontalCentered="1"/>
  <pageMargins left="0.7875" right="0.7875" top="0.39375" bottom="0.39375" header="0.5118055555555555" footer="0.5118055555555555"/>
  <pageSetup horizontalDpi="300" verticalDpi="300" orientation="portrait" paperSize="9" scale="68"/>
  <rowBreaks count="2" manualBreakCount="2">
    <brk id="73" max="5" man="1"/>
    <brk id="114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0"/>
  <sheetViews>
    <sheetView showGridLines="0" zoomScale="85" zoomScaleNormal="85" zoomScaleSheetLayoutView="85" workbookViewId="0" topLeftCell="A121">
      <selection activeCell="D94" sqref="D94"/>
    </sheetView>
  </sheetViews>
  <sheetFormatPr defaultColWidth="11.421875" defaultRowHeight="12.75"/>
  <cols>
    <col min="1" max="1" width="19.7109375" style="0" customWidth="1"/>
    <col min="2" max="2" width="21.421875" style="0" customWidth="1"/>
    <col min="3" max="3" width="30.28125" style="0" customWidth="1"/>
    <col min="4" max="4" width="3.7109375" style="0" customWidth="1"/>
    <col min="5" max="5" width="21.421875" style="0" customWidth="1"/>
    <col min="6" max="6" width="3.7109375" style="0" customWidth="1"/>
    <col min="7" max="7" width="4.421875" style="0" customWidth="1"/>
    <col min="8" max="8" width="2.421875" style="0" customWidth="1"/>
  </cols>
  <sheetData>
    <row r="1" spans="1:6" ht="24" customHeight="1">
      <c r="A1" s="492" t="str">
        <f>ANNEE</f>
        <v>2011-2012</v>
      </c>
      <c r="B1" s="492"/>
      <c r="C1" s="492"/>
      <c r="D1" s="492"/>
      <c r="E1" s="492"/>
      <c r="F1" s="492"/>
    </row>
    <row r="2" spans="1:6" ht="18">
      <c r="A2" s="493" t="s">
        <v>263</v>
      </c>
      <c r="B2" s="493"/>
      <c r="C2" s="493"/>
      <c r="D2" s="493"/>
      <c r="E2" s="493"/>
      <c r="F2" s="493"/>
    </row>
    <row r="3" spans="1:6" ht="12" customHeight="1">
      <c r="A3" s="448"/>
      <c r="B3" s="448"/>
      <c r="C3" s="448"/>
      <c r="D3" s="448"/>
      <c r="E3" s="448"/>
      <c r="F3" s="448"/>
    </row>
    <row r="4" spans="1:6" ht="15">
      <c r="A4" s="537" t="str">
        <f>"To be returned before "&amp;Source!C34&amp;" for experimental rockets"</f>
        <v>To be returned before March17th 2012 for experimental rockets</v>
      </c>
      <c r="B4" s="537"/>
      <c r="C4" s="537"/>
      <c r="D4" s="537"/>
      <c r="E4" s="537"/>
      <c r="F4" s="537"/>
    </row>
    <row r="5" spans="1:6" ht="15" customHeight="1">
      <c r="A5" s="494" t="s">
        <v>264</v>
      </c>
      <c r="B5" s="494"/>
      <c r="C5" s="494"/>
      <c r="D5" s="494"/>
      <c r="E5" s="494"/>
      <c r="F5" s="494"/>
    </row>
    <row r="6" spans="1:6" ht="12">
      <c r="A6" s="412" t="str">
        <f>'2-Definition'!A6</f>
        <v>ONE FORM PER PROJECT</v>
      </c>
      <c r="B6" s="412"/>
      <c r="C6" s="412"/>
      <c r="D6" s="412"/>
      <c r="E6" s="412"/>
      <c r="F6" s="412"/>
    </row>
    <row r="7" spans="1:6" ht="9" customHeight="1">
      <c r="A7" s="108"/>
      <c r="B7" s="109"/>
      <c r="C7" s="110"/>
      <c r="D7" s="110"/>
      <c r="E7" s="110"/>
      <c r="F7" s="69"/>
    </row>
    <row r="8" spans="1:6" ht="12">
      <c r="A8" s="400" t="s">
        <v>265</v>
      </c>
      <c r="B8" s="400"/>
      <c r="C8" s="400"/>
      <c r="D8" s="400"/>
      <c r="E8" s="400"/>
      <c r="F8" s="400"/>
    </row>
    <row r="9" spans="1:6" ht="12">
      <c r="A9" s="400" t="s">
        <v>266</v>
      </c>
      <c r="B9" s="400"/>
      <c r="C9" s="400"/>
      <c r="D9" s="400"/>
      <c r="E9" s="400"/>
      <c r="F9" s="400"/>
    </row>
    <row r="10" spans="1:6" ht="12">
      <c r="A10" s="400" t="s">
        <v>267</v>
      </c>
      <c r="B10" s="400"/>
      <c r="C10" s="400"/>
      <c r="D10" s="400"/>
      <c r="E10" s="400"/>
      <c r="F10" s="400"/>
    </row>
    <row r="11" spans="1:6" ht="12">
      <c r="A11" s="536" t="s">
        <v>268</v>
      </c>
      <c r="B11" s="536"/>
      <c r="C11" s="536"/>
      <c r="D11" s="536"/>
      <c r="E11" s="536"/>
      <c r="F11" s="536"/>
    </row>
    <row r="12" spans="1:6" ht="6" customHeight="1">
      <c r="A12" s="88"/>
      <c r="B12" s="111"/>
      <c r="C12" s="59"/>
      <c r="D12" s="89"/>
      <c r="E12" s="89"/>
      <c r="F12" s="90"/>
    </row>
    <row r="13" spans="1:6" ht="15" customHeight="1">
      <c r="A13" s="84" t="str">
        <f>'2-Definition'!A11</f>
        <v>Project name</v>
      </c>
      <c r="B13" s="489">
        <f>IF('1-Registration'!$B$12="","",'1-Registration'!$B$12)</f>
      </c>
      <c r="C13" s="489"/>
      <c r="D13" s="489"/>
      <c r="E13" s="489"/>
      <c r="F13" s="489"/>
    </row>
    <row r="14" spans="1:6" ht="12" customHeight="1">
      <c r="A14" s="490"/>
      <c r="B14" s="490"/>
      <c r="C14" s="490"/>
      <c r="D14" s="490"/>
      <c r="E14" s="490"/>
      <c r="F14" s="490"/>
    </row>
    <row r="15" spans="1:6" ht="15" customHeight="1">
      <c r="A15" s="85" t="str">
        <f>'2-Definition'!A13</f>
        <v>Club name</v>
      </c>
      <c r="B15" s="499">
        <f>IF('1-Registration'!$B$18="","",'1-Registration'!$B$18)</f>
      </c>
      <c r="C15" s="499"/>
      <c r="D15" s="499"/>
      <c r="E15" s="499"/>
      <c r="F15" s="499"/>
    </row>
    <row r="16" spans="1:6" ht="6" customHeight="1">
      <c r="A16" s="88"/>
      <c r="B16" s="111"/>
      <c r="C16" s="59"/>
      <c r="D16" s="89"/>
      <c r="E16" s="89"/>
      <c r="F16" s="90"/>
    </row>
    <row r="17" spans="1:6" ht="15" customHeight="1">
      <c r="A17" s="449" t="str">
        <f>'2-Definition'!A15</f>
        <v>YOUR PROJECT</v>
      </c>
      <c r="B17" s="449"/>
      <c r="C17" s="449"/>
      <c r="D17" s="449"/>
      <c r="E17" s="449"/>
      <c r="F17" s="449"/>
    </row>
    <row r="18" spans="1:6" ht="12" customHeight="1">
      <c r="A18" s="448"/>
      <c r="B18" s="448"/>
      <c r="C18" s="448"/>
      <c r="D18" s="448"/>
      <c r="E18" s="448"/>
      <c r="F18" s="448"/>
    </row>
    <row r="19" spans="1:6" ht="12">
      <c r="A19" s="86" t="str">
        <f>'2-Definition'!A17</f>
        <v>Type of project</v>
      </c>
      <c r="B19" s="483" t="str">
        <f>'2-Definition'!B17</f>
        <v>Select…</v>
      </c>
      <c r="C19" s="483"/>
      <c r="D19" s="484">
        <f>'2-Definition'!D17</f>
      </c>
      <c r="E19" s="484"/>
      <c r="F19" s="484"/>
    </row>
    <row r="20" spans="1:6" ht="12" customHeight="1">
      <c r="A20" s="451"/>
      <c r="B20" s="451"/>
      <c r="C20" s="451"/>
      <c r="D20" s="451"/>
      <c r="E20" s="451"/>
      <c r="F20" s="451"/>
    </row>
    <row r="21" spans="1:6" ht="12">
      <c r="A21" s="86" t="str">
        <f>'2-Definition'!A19</f>
        <v>Type of propellor</v>
      </c>
      <c r="B21" s="483" t="str">
        <f>'2-Definition'!B19</f>
        <v>Select…</v>
      </c>
      <c r="C21" s="483"/>
      <c r="D21" s="465"/>
      <c r="E21" s="465"/>
      <c r="F21" s="465"/>
    </row>
    <row r="22" spans="1:7" ht="12" customHeight="1">
      <c r="A22" s="491"/>
      <c r="B22" s="491"/>
      <c r="C22" s="491"/>
      <c r="D22" s="491"/>
      <c r="E22" s="491"/>
      <c r="F22" s="491"/>
      <c r="G22" s="112"/>
    </row>
    <row r="23" spans="1:7" ht="6" customHeight="1">
      <c r="A23" s="88"/>
      <c r="B23" s="89"/>
      <c r="C23" s="89"/>
      <c r="D23" s="89"/>
      <c r="E23" s="89"/>
      <c r="F23" s="90"/>
      <c r="G23" s="112"/>
    </row>
    <row r="24" spans="1:6" ht="15" customHeight="1">
      <c r="A24" s="449" t="str">
        <f>'2-Definition'!A22</f>
        <v>EXPERIMENT</v>
      </c>
      <c r="B24" s="449"/>
      <c r="C24" s="449"/>
      <c r="D24" s="449"/>
      <c r="E24" s="449"/>
      <c r="F24" s="449"/>
    </row>
    <row r="25" spans="1:6" ht="12">
      <c r="A25" s="450" t="str">
        <f>'2-Definition'!$A$23</f>
        <v>An experimental project for which the main(s) experiment(s) is (are) not functionning can't be set up.</v>
      </c>
      <c r="B25" s="450"/>
      <c r="C25" s="450"/>
      <c r="D25" s="450"/>
      <c r="E25" s="450"/>
      <c r="F25" s="450"/>
    </row>
    <row r="26" spans="1:6" ht="12">
      <c r="A26" s="450" t="str">
        <f>'2-Definition'!$A$24</f>
        <v>The secondary experiment is optional. Your project may contain a single or several main experiment(s)</v>
      </c>
      <c r="B26" s="450"/>
      <c r="C26" s="450"/>
      <c r="D26" s="450"/>
      <c r="E26" s="450"/>
      <c r="F26" s="450"/>
    </row>
    <row r="27" spans="1:6" ht="12" customHeight="1">
      <c r="A27" s="450" t="str">
        <f>'2-Definition'!$A$25</f>
        <v>Do not fill this part if your project is a rocket without onboard experiment</v>
      </c>
      <c r="B27" s="450"/>
      <c r="C27" s="450"/>
      <c r="D27" s="450"/>
      <c r="E27" s="450"/>
      <c r="F27" s="450"/>
    </row>
    <row r="28" spans="1:7" ht="12" customHeight="1">
      <c r="A28" s="448"/>
      <c r="B28" s="448"/>
      <c r="C28" s="448"/>
      <c r="D28" s="448"/>
      <c r="E28" s="448"/>
      <c r="F28" s="448"/>
      <c r="G28" s="113"/>
    </row>
    <row r="29" spans="1:7" ht="36" customHeight="1">
      <c r="A29" s="480" t="str">
        <f>'2-Definition'!A27</f>
        <v>Main experiment(s)</v>
      </c>
      <c r="B29" s="480"/>
      <c r="C29" s="467">
        <f>IF('2-Definition'!C27="","",'2-Definition'!C27)</f>
      </c>
      <c r="D29" s="467"/>
      <c r="E29" s="467"/>
      <c r="F29" s="467"/>
      <c r="G29" s="113"/>
    </row>
    <row r="30" spans="1:7" ht="36" customHeight="1">
      <c r="A30" s="464" t="str">
        <f>'2-Definition'!A28</f>
        <v>Parameter(s) to measure
(mention the units)</v>
      </c>
      <c r="B30" s="464"/>
      <c r="C30" s="467">
        <f>IF('2-Definition'!C28="","",'2-Definition'!C28)</f>
      </c>
      <c r="D30" s="467"/>
      <c r="E30" s="467"/>
      <c r="F30" s="467"/>
      <c r="G30" s="113"/>
    </row>
    <row r="31" spans="1:7" ht="36" customHeight="1">
      <c r="A31" s="464" t="str">
        <f>'2-Definition'!A29</f>
        <v>For each parameter, precise the 
expected result</v>
      </c>
      <c r="B31" s="464"/>
      <c r="C31" s="467">
        <f>IF('2-Definition'!C29="","",'2-Definition'!C29)</f>
      </c>
      <c r="D31" s="467"/>
      <c r="E31" s="467"/>
      <c r="F31" s="467"/>
      <c r="G31" s="113"/>
    </row>
    <row r="32" spans="1:7" ht="12" customHeight="1">
      <c r="A32" s="451"/>
      <c r="B32" s="451"/>
      <c r="C32" s="451"/>
      <c r="D32" s="451"/>
      <c r="E32" s="451"/>
      <c r="F32" s="451"/>
      <c r="G32" s="113"/>
    </row>
    <row r="33" spans="1:7" ht="36" customHeight="1">
      <c r="A33" s="464" t="str">
        <f>'2-Definition'!A31</f>
        <v>Secondary experiment(s)
(optional)</v>
      </c>
      <c r="B33" s="464"/>
      <c r="C33" s="467">
        <f>'2-Definition'!C31</f>
      </c>
      <c r="D33" s="467"/>
      <c r="E33" s="467"/>
      <c r="F33" s="467"/>
      <c r="G33" s="113"/>
    </row>
    <row r="34" spans="1:7" ht="36" customHeight="1">
      <c r="A34" s="464" t="str">
        <f>'2-Definition'!A32</f>
        <v>Parameter(s) to measure
(mention the units)</v>
      </c>
      <c r="B34" s="464"/>
      <c r="C34" s="467">
        <f>IF('2-Definition'!C32="","",'2-Definition'!C32)</f>
      </c>
      <c r="D34" s="467"/>
      <c r="E34" s="467"/>
      <c r="F34" s="467"/>
      <c r="G34" s="113"/>
    </row>
    <row r="35" spans="1:7" ht="36" customHeight="1">
      <c r="A35" s="464" t="str">
        <f>'2-Definition'!A33</f>
        <v>For each parameter, precise the 
expected result</v>
      </c>
      <c r="B35" s="464"/>
      <c r="C35" s="467">
        <f>IF('2-Definition'!C33="","",'2-Definition'!C33)</f>
      </c>
      <c r="D35" s="467"/>
      <c r="E35" s="467"/>
      <c r="F35" s="467"/>
      <c r="G35" s="113"/>
    </row>
    <row r="36" spans="1:7" ht="12" customHeight="1">
      <c r="A36" s="451"/>
      <c r="B36" s="451"/>
      <c r="C36" s="451"/>
      <c r="D36" s="451"/>
      <c r="E36" s="451"/>
      <c r="F36" s="451"/>
      <c r="G36" s="113"/>
    </row>
    <row r="37" spans="1:7" ht="30" customHeight="1">
      <c r="A37" s="464" t="str">
        <f>'2-Definition'!A35</f>
        <v>Parameter(s) actually sensed
(mention the units)</v>
      </c>
      <c r="B37" s="464"/>
      <c r="C37" s="467">
        <f>IF('2-Definition'!C36="","",'2-Definition'!C36)</f>
      </c>
      <c r="D37" s="467"/>
      <c r="E37" s="467"/>
      <c r="F37" s="467"/>
      <c r="G37" s="113"/>
    </row>
    <row r="38" spans="1:7" ht="30" customHeight="1">
      <c r="A38" s="464" t="str">
        <f>'2-Definition'!A37</f>
        <v>Sensor(s) involved</v>
      </c>
      <c r="B38" s="464"/>
      <c r="C38" s="467">
        <f>IF('2-Definition'!C37="","",'2-Definition'!C37)</f>
      </c>
      <c r="D38" s="467"/>
      <c r="E38" s="467"/>
      <c r="F38" s="467"/>
      <c r="G38" s="113"/>
    </row>
    <row r="39" spans="1:7" ht="12" customHeight="1">
      <c r="A39" s="451"/>
      <c r="B39" s="451"/>
      <c r="C39" s="451"/>
      <c r="D39" s="451"/>
      <c r="E39" s="451"/>
      <c r="F39" s="451"/>
      <c r="G39" s="113"/>
    </row>
    <row r="40" spans="1:7" ht="30" customHeight="1">
      <c r="A40" s="464" t="str">
        <f>'2-Definition'!A39</f>
        <v>Mention here the data conversion formulae</v>
      </c>
      <c r="B40" s="464"/>
      <c r="C40" s="467">
        <f>IF('2-Definition'!C39="","",'2-Definition'!C39)</f>
      </c>
      <c r="D40" s="467"/>
      <c r="E40" s="467"/>
      <c r="F40" s="467"/>
      <c r="G40" s="113"/>
    </row>
    <row r="41" spans="1:7" ht="12" customHeight="1">
      <c r="A41" s="451"/>
      <c r="B41" s="451"/>
      <c r="C41" s="451"/>
      <c r="D41" s="451"/>
      <c r="E41" s="451"/>
      <c r="F41" s="451"/>
      <c r="G41" s="113"/>
    </row>
    <row r="42" spans="1:7" ht="15" customHeight="1">
      <c r="A42" s="479" t="str">
        <f>'2-Definition'!A41</f>
        <v>Data storage medium</v>
      </c>
      <c r="B42" s="479"/>
      <c r="C42" s="93" t="str">
        <f>'2-Definition'!C41</f>
        <v>Onboard recording</v>
      </c>
      <c r="D42" s="92" t="b">
        <v>0</v>
      </c>
      <c r="E42" s="472"/>
      <c r="F42" s="472"/>
      <c r="G42" s="113"/>
    </row>
    <row r="43" spans="1:7" ht="15">
      <c r="A43" s="479"/>
      <c r="B43" s="479"/>
      <c r="C43" s="93" t="str">
        <f>'2-Definition'!C42</f>
        <v>Ground reception</v>
      </c>
      <c r="D43" s="92" t="b">
        <v>0</v>
      </c>
      <c r="E43" s="472"/>
      <c r="F43" s="472"/>
      <c r="G43" s="113"/>
    </row>
    <row r="44" spans="1:7" ht="12" customHeight="1">
      <c r="A44" s="451"/>
      <c r="B44" s="451"/>
      <c r="C44" s="451"/>
      <c r="D44" s="451"/>
      <c r="E44" s="451"/>
      <c r="F44" s="451"/>
      <c r="G44" s="113"/>
    </row>
    <row r="45" spans="1:7" ht="15">
      <c r="A45" s="444" t="s">
        <v>269</v>
      </c>
      <c r="B45" s="444"/>
      <c r="C45" s="444"/>
      <c r="D45" s="463" t="s">
        <v>73</v>
      </c>
      <c r="E45" s="463"/>
      <c r="F45" s="463"/>
      <c r="G45" s="113"/>
    </row>
    <row r="46" spans="1:7" ht="15">
      <c r="A46" s="444" t="s">
        <v>270</v>
      </c>
      <c r="B46" s="444"/>
      <c r="C46" s="444"/>
      <c r="D46" s="94" t="b">
        <v>0</v>
      </c>
      <c r="E46" s="472"/>
      <c r="F46" s="472"/>
      <c r="G46" s="113"/>
    </row>
    <row r="47" spans="1:7" ht="12" customHeight="1">
      <c r="A47" s="491"/>
      <c r="B47" s="491"/>
      <c r="C47" s="491"/>
      <c r="D47" s="491"/>
      <c r="E47" s="491"/>
      <c r="F47" s="491"/>
      <c r="G47" s="113"/>
    </row>
    <row r="48" spans="1:7" ht="6" customHeight="1">
      <c r="A48" s="459"/>
      <c r="B48" s="459"/>
      <c r="C48" s="459"/>
      <c r="D48" s="459"/>
      <c r="E48" s="459"/>
      <c r="F48" s="459"/>
      <c r="G48" s="113"/>
    </row>
    <row r="49" spans="1:7" ht="15" customHeight="1">
      <c r="A49" s="449" t="str">
        <f>'2-Definition'!A45</f>
        <v>TELEMETRY</v>
      </c>
      <c r="B49" s="449"/>
      <c r="C49" s="449"/>
      <c r="D49" s="449"/>
      <c r="E49" s="449"/>
      <c r="F49" s="449"/>
      <c r="G49" s="113"/>
    </row>
    <row r="50" spans="1:7" ht="12" customHeight="1">
      <c r="A50" s="450" t="str">
        <f>'2-Definition'!A46</f>
        <v>Fill this section only if you plan to make use of a transmitter for your project</v>
      </c>
      <c r="B50" s="450"/>
      <c r="C50" s="450"/>
      <c r="D50" s="450"/>
      <c r="E50" s="450"/>
      <c r="F50" s="450"/>
      <c r="G50" s="113"/>
    </row>
    <row r="51" spans="1:7" ht="12" customHeight="1">
      <c r="A51" s="460" t="str">
        <f>'2-Definition'!A47</f>
        <v>* This mode is dedicated to the transmission of more than 4 analog signals. The range for each signal is 0 to 5V</v>
      </c>
      <c r="B51" s="460"/>
      <c r="C51" s="460"/>
      <c r="D51" s="460"/>
      <c r="E51" s="460"/>
      <c r="F51" s="460"/>
      <c r="G51" s="113"/>
    </row>
    <row r="52" spans="1:7" ht="12" customHeight="1">
      <c r="A52" s="460" t="str">
        <f>'2-Definition'!A48</f>
        <v>** Check this box in case if you plan to make use of a frequency requiring a radio-amateur licence</v>
      </c>
      <c r="B52" s="460"/>
      <c r="C52" s="460"/>
      <c r="D52" s="460"/>
      <c r="E52" s="460"/>
      <c r="F52" s="460"/>
      <c r="G52" s="113"/>
    </row>
    <row r="53" spans="1:7" ht="12" customHeight="1">
      <c r="A53" s="451"/>
      <c r="B53" s="451"/>
      <c r="C53" s="451"/>
      <c r="D53" s="451"/>
      <c r="E53" s="451"/>
      <c r="F53" s="451"/>
      <c r="G53" s="113"/>
    </row>
    <row r="54" spans="1:7" ht="12.75" customHeight="1">
      <c r="A54" s="444" t="str">
        <f>'2-Definition'!A50</f>
        <v>Main transmitter involved</v>
      </c>
      <c r="B54" s="444"/>
      <c r="C54" s="95" t="s">
        <v>73</v>
      </c>
      <c r="D54" s="463">
        <f>IF(C54="Autre (précisez)",'1-Registration'!C50,"")</f>
      </c>
      <c r="E54" s="463"/>
      <c r="F54" s="463"/>
      <c r="G54" s="113"/>
    </row>
    <row r="55" spans="1:7" ht="12" customHeight="1">
      <c r="A55" s="451"/>
      <c r="B55" s="451"/>
      <c r="C55" s="451"/>
      <c r="D55" s="451"/>
      <c r="E55" s="451"/>
      <c r="F55" s="451"/>
      <c r="G55" s="113"/>
    </row>
    <row r="56" spans="1:7" ht="15">
      <c r="A56" s="474">
        <f>IF(C54="Other (precise)","Precise the frequency:","")</f>
      </c>
      <c r="B56" s="474"/>
      <c r="C56" s="463"/>
      <c r="D56" s="463"/>
      <c r="E56" s="463"/>
      <c r="F56" s="463"/>
      <c r="G56" s="113"/>
    </row>
    <row r="57" spans="1:7" ht="15">
      <c r="A57" s="474">
        <f>IF(C54="Other (precise)","Precise the output power:","")</f>
      </c>
      <c r="B57" s="474"/>
      <c r="C57" s="463"/>
      <c r="D57" s="463"/>
      <c r="E57" s="463"/>
      <c r="F57" s="463"/>
      <c r="G57" s="113"/>
    </row>
    <row r="58" spans="1:7" ht="12" customHeight="1">
      <c r="A58" s="451"/>
      <c r="B58" s="451"/>
      <c r="C58" s="451"/>
      <c r="D58" s="451"/>
      <c r="E58" s="451"/>
      <c r="F58" s="451"/>
      <c r="G58" s="113"/>
    </row>
    <row r="59" spans="1:7" ht="15">
      <c r="A59" s="476" t="s">
        <v>200</v>
      </c>
      <c r="B59" s="476"/>
      <c r="C59" s="476"/>
      <c r="D59" s="94" t="b">
        <v>0</v>
      </c>
      <c r="E59" s="534"/>
      <c r="F59" s="534"/>
      <c r="G59" s="113"/>
    </row>
    <row r="60" spans="1:7" ht="15">
      <c r="A60" s="476" t="s">
        <v>271</v>
      </c>
      <c r="B60" s="476"/>
      <c r="C60" s="476"/>
      <c r="D60" s="114" t="b">
        <v>0</v>
      </c>
      <c r="E60" s="535"/>
      <c r="F60" s="535" t="b">
        <f>FALSE</f>
        <v>0</v>
      </c>
      <c r="G60" s="113"/>
    </row>
    <row r="61" spans="1:7" ht="12" customHeight="1">
      <c r="A61" s="451"/>
      <c r="B61" s="451"/>
      <c r="C61" s="451"/>
      <c r="D61" s="451"/>
      <c r="E61" s="451"/>
      <c r="F61" s="451"/>
      <c r="G61" s="113"/>
    </row>
    <row r="62" spans="1:7" ht="15">
      <c r="A62" s="444" t="str">
        <f>'2-Definition'!A57</f>
        <v>Precise the type of telemetry</v>
      </c>
      <c r="B62" s="444"/>
      <c r="C62" s="64" t="s">
        <v>73</v>
      </c>
      <c r="D62" s="472"/>
      <c r="E62" s="472"/>
      <c r="F62" s="472"/>
      <c r="G62" s="113"/>
    </row>
    <row r="63" spans="1:7" ht="15">
      <c r="A63" s="457">
        <f>IF(C62="Digital","Describe the frame:",IF(C62="Analog on IRIG","Precise the IRIG channels:",""))</f>
      </c>
      <c r="B63" s="457"/>
      <c r="C63" s="458"/>
      <c r="D63" s="458"/>
      <c r="E63" s="458"/>
      <c r="F63" s="458"/>
      <c r="G63" s="113"/>
    </row>
    <row r="64" spans="1:6" ht="15" customHeight="1">
      <c r="A64" s="457"/>
      <c r="B64" s="457"/>
      <c r="C64" s="458"/>
      <c r="D64" s="458"/>
      <c r="E64" s="458"/>
      <c r="F64" s="458"/>
    </row>
    <row r="65" spans="1:6" ht="15" customHeight="1">
      <c r="A65" s="457"/>
      <c r="B65" s="457"/>
      <c r="C65" s="458"/>
      <c r="D65" s="458"/>
      <c r="E65" s="458"/>
      <c r="F65" s="458"/>
    </row>
    <row r="66" spans="1:6" ht="24" customHeight="1">
      <c r="A66" s="464" t="str">
        <f>'2-Definition'!A61</f>
        <v>Do you plan to develop your own software tool for telemetry decoding ?</v>
      </c>
      <c r="B66" s="464"/>
      <c r="C66" s="106" t="s">
        <v>73</v>
      </c>
      <c r="D66" s="496"/>
      <c r="E66" s="496"/>
      <c r="F66" s="496"/>
    </row>
    <row r="67" spans="1:7" ht="12" customHeight="1">
      <c r="A67" s="451"/>
      <c r="B67" s="451"/>
      <c r="C67" s="451"/>
      <c r="D67" s="451"/>
      <c r="E67" s="451"/>
      <c r="F67" s="451"/>
      <c r="G67" s="113"/>
    </row>
    <row r="68" spans="1:7" ht="12" customHeight="1">
      <c r="A68" s="444" t="s">
        <v>272</v>
      </c>
      <c r="B68" s="444"/>
      <c r="C68" s="465"/>
      <c r="D68" s="465"/>
      <c r="E68" s="465"/>
      <c r="F68" s="465"/>
      <c r="G68" s="113"/>
    </row>
    <row r="69" spans="1:7" ht="12" customHeight="1">
      <c r="A69" s="531"/>
      <c r="B69" s="531"/>
      <c r="C69" s="531"/>
      <c r="D69" s="531"/>
      <c r="E69" s="531"/>
      <c r="F69" s="531"/>
      <c r="G69" s="113"/>
    </row>
    <row r="70" spans="1:6" ht="15" customHeight="1">
      <c r="A70" s="471" t="s">
        <v>273</v>
      </c>
      <c r="B70" s="471"/>
      <c r="C70" s="106" t="s">
        <v>73</v>
      </c>
      <c r="D70" s="472"/>
      <c r="E70" s="472"/>
      <c r="F70" s="472"/>
    </row>
    <row r="71" spans="1:6" ht="30" customHeight="1">
      <c r="A71" s="533">
        <f>IF(C70="Yes","Precise purpose(s), frequency(ies), power(s), autonomy(ies): ","")</f>
      </c>
      <c r="B71" s="533"/>
      <c r="C71" s="458">
        <f>IF('2-Definition'!C64="","",'2-Definition'!C64)</f>
      </c>
      <c r="D71" s="458"/>
      <c r="E71" s="458"/>
      <c r="F71" s="458"/>
    </row>
    <row r="72" spans="1:7" ht="12" customHeight="1">
      <c r="A72" s="451"/>
      <c r="B72" s="451"/>
      <c r="C72" s="451"/>
      <c r="D72" s="451"/>
      <c r="E72" s="451"/>
      <c r="F72" s="451"/>
      <c r="G72" s="113"/>
    </row>
    <row r="73" spans="1:7" ht="6" customHeight="1">
      <c r="A73" s="456"/>
      <c r="B73" s="456"/>
      <c r="C73" s="456"/>
      <c r="D73" s="456"/>
      <c r="E73" s="456"/>
      <c r="F73" s="456"/>
      <c r="G73" s="113"/>
    </row>
    <row r="74" spans="1:6" ht="15" customHeight="1">
      <c r="A74" s="449" t="str">
        <f>'2-Definition'!A66</f>
        <v>RECOVERY SYSTEM</v>
      </c>
      <c r="B74" s="449"/>
      <c r="C74" s="449"/>
      <c r="D74" s="449"/>
      <c r="E74" s="449"/>
      <c r="F74" s="449"/>
    </row>
    <row r="75" spans="1:6" ht="12" customHeight="1">
      <c r="A75" s="448"/>
      <c r="B75" s="448"/>
      <c r="C75" s="448"/>
      <c r="D75" s="448"/>
      <c r="E75" s="448"/>
      <c r="F75" s="448"/>
    </row>
    <row r="76" spans="1:6" ht="30" customHeight="1">
      <c r="A76" s="464" t="str">
        <f>'2-Definition'!A68</f>
        <v>Precise the type of recovery system you plan to set up</v>
      </c>
      <c r="B76" s="464"/>
      <c r="C76" s="106" t="s">
        <v>73</v>
      </c>
      <c r="D76" s="532"/>
      <c r="E76" s="532"/>
      <c r="F76" s="532"/>
    </row>
    <row r="77" spans="1:7" ht="15" customHeight="1">
      <c r="A77" s="457" t="s">
        <v>274</v>
      </c>
      <c r="B77" s="457"/>
      <c r="C77" s="458"/>
      <c r="D77" s="458"/>
      <c r="E77" s="458"/>
      <c r="F77" s="458"/>
      <c r="G77" s="10"/>
    </row>
    <row r="78" spans="1:7" ht="12" customHeight="1">
      <c r="A78" s="538"/>
      <c r="B78" s="538"/>
      <c r="C78" s="538"/>
      <c r="D78" s="538"/>
      <c r="E78" s="538"/>
      <c r="F78" s="538"/>
      <c r="G78" s="113"/>
    </row>
    <row r="79" spans="1:6" ht="24" customHeight="1">
      <c r="A79" s="464" t="str">
        <f>'2-Definition'!A70</f>
        <v>Precise the type of ejection you plan to set up</v>
      </c>
      <c r="B79" s="464"/>
      <c r="C79" s="106" t="s">
        <v>73</v>
      </c>
      <c r="D79" s="532"/>
      <c r="E79" s="532"/>
      <c r="F79" s="532"/>
    </row>
    <row r="80" spans="1:6" ht="12">
      <c r="A80" s="451"/>
      <c r="B80" s="451"/>
      <c r="C80" s="451"/>
      <c r="D80" s="451"/>
      <c r="E80" s="451"/>
      <c r="F80" s="451"/>
    </row>
    <row r="81" spans="1:7" ht="15" customHeight="1">
      <c r="A81" s="466" t="str">
        <f>'2-Definition'!A72</f>
        <v>Precise which system you plan to set up in order trigger and to eject your recovery system ?
(several choices allowed)</v>
      </c>
      <c r="B81" s="466"/>
      <c r="C81" s="93" t="str">
        <f>'2-Definition'!C72</f>
        <v>Plug</v>
      </c>
      <c r="D81" s="94" t="b">
        <v>0</v>
      </c>
      <c r="E81" s="93" t="str">
        <f>'2-Definition'!E72</f>
        <v>Magnection suction</v>
      </c>
      <c r="F81" s="98" t="b">
        <v>0</v>
      </c>
      <c r="G81" s="10"/>
    </row>
    <row r="82" spans="1:7" ht="15" customHeight="1">
      <c r="A82" s="466"/>
      <c r="B82" s="466"/>
      <c r="C82" s="93" t="str">
        <f>'2-Definition'!C73</f>
        <v>Timer</v>
      </c>
      <c r="D82" s="94" t="b">
        <v>0</v>
      </c>
      <c r="E82" s="93" t="str">
        <f>'2-Definition'!E73</f>
        <v>Igniter</v>
      </c>
      <c r="F82" s="98" t="b">
        <v>0</v>
      </c>
      <c r="G82" s="113"/>
    </row>
    <row r="83" spans="1:7" ht="15" customHeight="1">
      <c r="A83" s="466"/>
      <c r="B83" s="466"/>
      <c r="C83" s="93" t="str">
        <f>'2-Definition'!C74</f>
        <v>Servo-Motor</v>
      </c>
      <c r="D83" s="94" t="b">
        <v>0</v>
      </c>
      <c r="E83" s="93" t="str">
        <f>'2-Definition'!E74</f>
        <v>Pneumatic jack</v>
      </c>
      <c r="F83" s="99" t="b">
        <v>0</v>
      </c>
      <c r="G83" s="10"/>
    </row>
    <row r="84" spans="1:7" ht="30" customHeight="1">
      <c r="A84" s="466"/>
      <c r="B84" s="466"/>
      <c r="C84" s="100" t="str">
        <f>'2-Definition'!C75</f>
        <v>Other (precise)</v>
      </c>
      <c r="D84" s="117" t="b">
        <v>0</v>
      </c>
      <c r="E84" s="467">
        <f>IF('2-Definition'!E75="","",'2-Definition'!E75)</f>
      </c>
      <c r="F84" s="467"/>
      <c r="G84" s="113"/>
    </row>
    <row r="85" spans="1:7" ht="12" customHeight="1">
      <c r="A85" s="451"/>
      <c r="B85" s="451"/>
      <c r="C85" s="451"/>
      <c r="D85" s="451"/>
      <c r="E85" s="451"/>
      <c r="F85" s="451"/>
      <c r="G85" s="113"/>
    </row>
    <row r="86" spans="1:7" ht="15" customHeight="1">
      <c r="A86" s="480" t="s">
        <v>763</v>
      </c>
      <c r="B86" s="480"/>
      <c r="C86" s="458"/>
      <c r="D86" s="458"/>
      <c r="E86" s="458"/>
      <c r="F86" s="458"/>
      <c r="G86" s="10"/>
    </row>
    <row r="87" spans="1:7" ht="12" customHeight="1">
      <c r="A87" s="451"/>
      <c r="B87" s="451"/>
      <c r="C87" s="451"/>
      <c r="D87" s="451"/>
      <c r="E87" s="451"/>
      <c r="F87" s="451"/>
      <c r="G87" s="113"/>
    </row>
    <row r="88" spans="1:7" ht="6" customHeight="1">
      <c r="A88" s="488"/>
      <c r="B88" s="488"/>
      <c r="C88" s="488"/>
      <c r="D88" s="488"/>
      <c r="E88" s="488"/>
      <c r="F88" s="488"/>
      <c r="G88" s="113"/>
    </row>
    <row r="89" spans="1:7" ht="15" customHeight="1">
      <c r="A89" s="449" t="str">
        <f>'2-Definition'!A78</f>
        <v>MECHANICS</v>
      </c>
      <c r="B89" s="449"/>
      <c r="C89" s="449"/>
      <c r="D89" s="449"/>
      <c r="E89" s="449"/>
      <c r="F89" s="449"/>
      <c r="G89" s="113"/>
    </row>
    <row r="90" spans="1:6" ht="12" customHeight="1">
      <c r="A90" s="450" t="str">
        <f>'2-Definition'!A79</f>
        <v>This section deals only with rockets. Skip it in case of Balloon.</v>
      </c>
      <c r="B90" s="450"/>
      <c r="C90" s="450"/>
      <c r="D90" s="450"/>
      <c r="E90" s="450"/>
      <c r="F90" s="450"/>
    </row>
    <row r="91" spans="1:7" ht="12" customHeight="1">
      <c r="A91" s="451"/>
      <c r="B91" s="451"/>
      <c r="C91" s="451"/>
      <c r="D91" s="451"/>
      <c r="E91" s="451"/>
      <c r="F91" s="451"/>
      <c r="G91" s="113"/>
    </row>
    <row r="92" spans="1:6" ht="15" customHeight="1">
      <c r="A92" s="444" t="str">
        <f>'2-Definition'!A83</f>
        <v>What part of the rocket is bearing the thrust efforts ?</v>
      </c>
      <c r="B92" s="444"/>
      <c r="C92" s="444"/>
      <c r="D92" s="512" t="s">
        <v>73</v>
      </c>
      <c r="E92" s="512"/>
      <c r="F92" s="512"/>
    </row>
    <row r="93" spans="1:6" ht="12">
      <c r="A93" s="451"/>
      <c r="B93" s="451"/>
      <c r="C93" s="451"/>
      <c r="D93" s="451"/>
      <c r="E93" s="451"/>
      <c r="F93" s="451"/>
    </row>
    <row r="94" spans="1:7" ht="12" customHeight="1">
      <c r="A94" s="444" t="s">
        <v>275</v>
      </c>
      <c r="B94" s="444"/>
      <c r="C94" s="444"/>
      <c r="D94" s="94" t="b">
        <v>0</v>
      </c>
      <c r="E94" s="530"/>
      <c r="F94" s="530"/>
      <c r="G94" s="113"/>
    </row>
    <row r="95" spans="1:7" ht="15" customHeight="1">
      <c r="A95" s="444" t="s">
        <v>276</v>
      </c>
      <c r="B95" s="444"/>
      <c r="C95" s="444"/>
      <c r="D95" s="94" t="b">
        <v>0</v>
      </c>
      <c r="E95" s="530"/>
      <c r="F95" s="530"/>
      <c r="G95" s="113"/>
    </row>
    <row r="96" spans="1:6" ht="15" customHeight="1">
      <c r="A96" s="451"/>
      <c r="B96" s="451"/>
      <c r="C96" s="451"/>
      <c r="D96" s="451"/>
      <c r="E96" s="451"/>
      <c r="F96" s="451"/>
    </row>
    <row r="97" spans="1:7" ht="6" customHeight="1">
      <c r="A97" s="488"/>
      <c r="B97" s="488"/>
      <c r="C97" s="488"/>
      <c r="D97" s="488"/>
      <c r="E97" s="488"/>
      <c r="F97" s="488"/>
      <c r="G97" s="113"/>
    </row>
    <row r="98" spans="1:6" ht="15" customHeight="1">
      <c r="A98" s="449" t="s">
        <v>277</v>
      </c>
      <c r="B98" s="449"/>
      <c r="C98" s="449"/>
      <c r="D98" s="449"/>
      <c r="E98" s="449"/>
      <c r="F98" s="449"/>
    </row>
    <row r="99" spans="1:7" ht="12" customHeight="1">
      <c r="A99" s="451"/>
      <c r="B99" s="451"/>
      <c r="C99" s="451"/>
      <c r="D99" s="451"/>
      <c r="E99" s="451"/>
      <c r="F99" s="451"/>
      <c r="G99" s="113"/>
    </row>
    <row r="100" spans="1:7" ht="15" customHeight="1">
      <c r="A100" s="444" t="s">
        <v>278</v>
      </c>
      <c r="B100" s="444"/>
      <c r="C100" s="444"/>
      <c r="D100" s="94" t="b">
        <v>0</v>
      </c>
      <c r="E100" s="528"/>
      <c r="F100" s="528"/>
      <c r="G100" s="113"/>
    </row>
    <row r="101" spans="1:6" ht="15" customHeight="1">
      <c r="A101" s="451"/>
      <c r="B101" s="451"/>
      <c r="C101" s="451"/>
      <c r="D101" s="451"/>
      <c r="E101" s="451"/>
      <c r="F101" s="451"/>
    </row>
    <row r="102" spans="1:7" ht="6" customHeight="1">
      <c r="A102" s="529"/>
      <c r="B102" s="529"/>
      <c r="C102" s="529"/>
      <c r="D102" s="529"/>
      <c r="E102" s="529"/>
      <c r="F102" s="529"/>
      <c r="G102" s="113"/>
    </row>
    <row r="103" spans="1:7" ht="15" customHeight="1">
      <c r="A103" s="449" t="str">
        <f>'2-Definition'!A86</f>
        <v>ONBOARD PROCESSING</v>
      </c>
      <c r="B103" s="449"/>
      <c r="C103" s="449"/>
      <c r="D103" s="449"/>
      <c r="E103" s="449"/>
      <c r="F103" s="449"/>
      <c r="G103" s="113"/>
    </row>
    <row r="104" spans="1:6" ht="12" customHeight="1">
      <c r="A104" s="450" t="str">
        <f>'2-Definition'!A87</f>
        <v>Fill this section only if your project includes one or more microcontroler(s)</v>
      </c>
      <c r="B104" s="450"/>
      <c r="C104" s="450"/>
      <c r="D104" s="450"/>
      <c r="E104" s="450"/>
      <c r="F104" s="450"/>
    </row>
    <row r="105" spans="1:7" ht="12" customHeight="1">
      <c r="A105" s="451"/>
      <c r="B105" s="451"/>
      <c r="C105" s="451"/>
      <c r="D105" s="451"/>
      <c r="E105" s="451"/>
      <c r="F105" s="451"/>
      <c r="G105" s="113"/>
    </row>
    <row r="106" spans="1:6" ht="15" customHeight="1">
      <c r="A106" s="444" t="str">
        <f>'2-Definition'!A89</f>
        <v>Any  onboard processor or controler ?</v>
      </c>
      <c r="B106" s="444"/>
      <c r="C106" s="64" t="s">
        <v>73</v>
      </c>
      <c r="D106" s="514"/>
      <c r="E106" s="514"/>
      <c r="F106" s="514"/>
    </row>
    <row r="107" spans="1:7" ht="12" customHeight="1">
      <c r="A107" s="451"/>
      <c r="B107" s="451"/>
      <c r="C107" s="451"/>
      <c r="D107" s="451"/>
      <c r="E107" s="451"/>
      <c r="F107" s="451"/>
      <c r="G107" s="113"/>
    </row>
    <row r="108" spans="1:6" ht="15" customHeight="1">
      <c r="A108" s="480">
        <f>IF(C106="Yes","Precise their number :","")</f>
      </c>
      <c r="B108" s="481"/>
      <c r="C108" s="475">
        <f>IF('2-Definition'!C91="","",'2-Definition'!C91)</f>
      </c>
      <c r="D108" s="475"/>
      <c r="E108" s="475"/>
      <c r="F108" s="475"/>
    </row>
    <row r="109" spans="1:7" ht="12" customHeight="1">
      <c r="A109" s="451"/>
      <c r="B109" s="451"/>
      <c r="C109" s="451"/>
      <c r="D109" s="451"/>
      <c r="E109" s="451"/>
      <c r="F109" s="451"/>
      <c r="G109" s="113"/>
    </row>
    <row r="110" spans="1:7" ht="12" customHeight="1">
      <c r="A110" s="480">
        <f>IF(C106="Yes","Precise their usage:","")</f>
      </c>
      <c r="B110" s="481"/>
      <c r="C110" s="509">
        <f>IF('2-Definition'!C93="","",'2-Definition'!C93)</f>
      </c>
      <c r="D110" s="509"/>
      <c r="E110" s="509"/>
      <c r="F110" s="467"/>
      <c r="G110" s="113"/>
    </row>
    <row r="111" spans="1:7" ht="15">
      <c r="A111" s="480"/>
      <c r="B111" s="481"/>
      <c r="C111" s="509"/>
      <c r="D111" s="509"/>
      <c r="E111" s="509"/>
      <c r="F111" s="467"/>
      <c r="G111" s="113"/>
    </row>
    <row r="112" spans="1:6" ht="8.25" customHeight="1">
      <c r="A112" s="447"/>
      <c r="B112" s="447"/>
      <c r="C112" s="447"/>
      <c r="D112" s="447"/>
      <c r="E112" s="447"/>
      <c r="F112" s="447"/>
    </row>
    <row r="113" spans="1:7" ht="6" customHeight="1">
      <c r="A113" s="459"/>
      <c r="B113" s="459"/>
      <c r="C113" s="459"/>
      <c r="D113" s="459"/>
      <c r="E113" s="459"/>
      <c r="F113" s="459"/>
      <c r="G113" s="113"/>
    </row>
    <row r="114" spans="1:7" ht="15" customHeight="1">
      <c r="A114" s="449" t="str">
        <f>'2-Definition'!A97</f>
        <v>SAFETY</v>
      </c>
      <c r="B114" s="449"/>
      <c r="C114" s="449"/>
      <c r="D114" s="449"/>
      <c r="E114" s="449"/>
      <c r="F114" s="449"/>
      <c r="G114" s="113"/>
    </row>
    <row r="115" spans="1:7" ht="12" customHeight="1">
      <c r="A115" s="450" t="s">
        <v>279</v>
      </c>
      <c r="B115" s="450"/>
      <c r="C115" s="450"/>
      <c r="D115" s="450"/>
      <c r="E115" s="450"/>
      <c r="F115" s="450"/>
      <c r="G115" s="113"/>
    </row>
    <row r="116" spans="1:7" ht="12" customHeight="1">
      <c r="A116" s="460" t="str">
        <f>'2-Definition'!A98</f>
        <v>*Pyrotechnic system is understood as any other igniter than Davey-Bickford type.</v>
      </c>
      <c r="B116" s="460"/>
      <c r="C116" s="460"/>
      <c r="D116" s="460"/>
      <c r="E116" s="460"/>
      <c r="F116" s="460"/>
      <c r="G116" s="113"/>
    </row>
    <row r="117" spans="1:7" ht="12" customHeight="1">
      <c r="A117" s="451"/>
      <c r="B117" s="451"/>
      <c r="C117" s="451"/>
      <c r="D117" s="451"/>
      <c r="E117" s="451"/>
      <c r="F117" s="451"/>
      <c r="G117" s="113"/>
    </row>
    <row r="118" spans="1:7" ht="15" customHeight="1">
      <c r="A118" s="444" t="s">
        <v>280</v>
      </c>
      <c r="B118" s="444"/>
      <c r="C118" s="444"/>
      <c r="D118" s="512" t="s">
        <v>73</v>
      </c>
      <c r="E118" s="512"/>
      <c r="F118" s="512"/>
      <c r="G118" s="113"/>
    </row>
    <row r="119" spans="1:7" ht="30" customHeight="1">
      <c r="A119" s="457">
        <f>IF(D118="Yes","Precise:","")</f>
      </c>
      <c r="B119" s="457"/>
      <c r="C119" s="467"/>
      <c r="D119" s="467"/>
      <c r="E119" s="467"/>
      <c r="F119" s="467"/>
      <c r="G119" s="113"/>
    </row>
    <row r="120" spans="1:7" ht="12" customHeight="1">
      <c r="A120" s="451"/>
      <c r="B120" s="451"/>
      <c r="C120" s="451"/>
      <c r="D120" s="451"/>
      <c r="E120" s="451"/>
      <c r="F120" s="451"/>
      <c r="G120" s="113"/>
    </row>
    <row r="121" spans="1:7" ht="15" customHeight="1">
      <c r="A121" s="444" t="s">
        <v>281</v>
      </c>
      <c r="B121" s="444"/>
      <c r="C121" s="444"/>
      <c r="D121" s="512" t="s">
        <v>73</v>
      </c>
      <c r="E121" s="512"/>
      <c r="F121" s="512"/>
      <c r="G121" s="113"/>
    </row>
    <row r="122" spans="1:7" ht="30" customHeight="1">
      <c r="A122" s="457">
        <f>IF(D121="Yes","Precise:","")</f>
      </c>
      <c r="B122" s="457"/>
      <c r="C122" s="467"/>
      <c r="D122" s="467"/>
      <c r="E122" s="467"/>
      <c r="F122" s="467"/>
      <c r="G122" s="113"/>
    </row>
    <row r="123" spans="1:7" ht="12" customHeight="1">
      <c r="A123" s="451"/>
      <c r="B123" s="451"/>
      <c r="C123" s="451"/>
      <c r="D123" s="451"/>
      <c r="E123" s="451"/>
      <c r="F123" s="451"/>
      <c r="G123" s="113"/>
    </row>
    <row r="124" spans="1:7" ht="15" customHeight="1">
      <c r="A124" s="444" t="s">
        <v>282</v>
      </c>
      <c r="B124" s="444"/>
      <c r="C124" s="444"/>
      <c r="D124" s="512" t="s">
        <v>73</v>
      </c>
      <c r="E124" s="512"/>
      <c r="F124" s="512"/>
      <c r="G124" s="113"/>
    </row>
    <row r="125" spans="1:7" ht="30" customHeight="1">
      <c r="A125" s="457">
        <f>IF(D124="Yes","Precise:","")</f>
      </c>
      <c r="B125" s="457"/>
      <c r="C125" s="467"/>
      <c r="D125" s="467"/>
      <c r="E125" s="467"/>
      <c r="F125" s="467"/>
      <c r="G125" s="113"/>
    </row>
    <row r="126" spans="1:7" ht="12" customHeight="1">
      <c r="A126" s="521"/>
      <c r="B126" s="521"/>
      <c r="C126" s="521"/>
      <c r="D126" s="521"/>
      <c r="E126" s="521"/>
      <c r="F126" s="521"/>
      <c r="G126" s="113"/>
    </row>
    <row r="127" spans="1:7" ht="15" customHeight="1">
      <c r="A127" s="480" t="s">
        <v>283</v>
      </c>
      <c r="B127" s="480"/>
      <c r="C127" s="480"/>
      <c r="D127" s="512" t="s">
        <v>73</v>
      </c>
      <c r="E127" s="512"/>
      <c r="F127" s="512"/>
      <c r="G127" s="113"/>
    </row>
    <row r="128" spans="1:7" ht="15" customHeight="1">
      <c r="A128" s="480" t="s">
        <v>284</v>
      </c>
      <c r="B128" s="480"/>
      <c r="C128" s="480"/>
      <c r="D128" s="116" t="b">
        <v>0</v>
      </c>
      <c r="E128" s="522"/>
      <c r="F128" s="522"/>
      <c r="G128" s="113"/>
    </row>
    <row r="129" spans="1:6" ht="15" customHeight="1">
      <c r="A129" s="451"/>
      <c r="B129" s="451"/>
      <c r="C129" s="451"/>
      <c r="D129" s="451"/>
      <c r="E129" s="451"/>
      <c r="F129" s="451"/>
    </row>
    <row r="130" spans="1:7" ht="6" customHeight="1">
      <c r="A130" s="488"/>
      <c r="B130" s="488"/>
      <c r="C130" s="488"/>
      <c r="D130" s="488"/>
      <c r="E130" s="488"/>
      <c r="F130" s="488"/>
      <c r="G130" s="113"/>
    </row>
    <row r="131" spans="1:7" ht="15" customHeight="1">
      <c r="A131" s="449" t="str">
        <f>'2-Definition'!A117</f>
        <v>COMMENTS</v>
      </c>
      <c r="B131" s="449"/>
      <c r="C131" s="449"/>
      <c r="D131" s="449"/>
      <c r="E131" s="449"/>
      <c r="F131" s="449"/>
      <c r="G131" s="113"/>
    </row>
    <row r="132" spans="1:7" ht="12" customHeight="1">
      <c r="A132" s="450" t="s">
        <v>285</v>
      </c>
      <c r="B132" s="450"/>
      <c r="C132" s="450"/>
      <c r="D132" s="450"/>
      <c r="E132" s="450"/>
      <c r="F132" s="450"/>
      <c r="G132" s="113"/>
    </row>
    <row r="133" spans="1:6" ht="12" customHeight="1">
      <c r="A133" s="451"/>
      <c r="B133" s="451"/>
      <c r="C133" s="451"/>
      <c r="D133" s="451"/>
      <c r="E133" s="451"/>
      <c r="F133" s="451"/>
    </row>
    <row r="134" spans="1:6" ht="15" customHeight="1">
      <c r="A134" s="519" t="s">
        <v>261</v>
      </c>
      <c r="B134" s="519"/>
      <c r="C134" s="519"/>
      <c r="D134" s="519"/>
      <c r="E134" s="519"/>
      <c r="F134" s="519"/>
    </row>
    <row r="135" spans="1:6" ht="15" customHeight="1">
      <c r="A135" s="517" t="str">
        <f>IF(D94,"","The drawing at scale of the overall rocket is missing")</f>
        <v>The drawing at scale of the overall rocket is missing</v>
      </c>
      <c r="B135" s="517"/>
      <c r="C135" s="517"/>
      <c r="D135" s="517"/>
      <c r="E135" s="517"/>
      <c r="F135" s="517"/>
    </row>
    <row r="136" spans="1:6" ht="15" customHeight="1">
      <c r="A136" s="520" t="str">
        <f>IF(D95,"","The sketch of the thrust plate is missing")</f>
        <v>The sketch of the thrust plate is missing</v>
      </c>
      <c r="B136" s="520"/>
      <c r="C136" s="520"/>
      <c r="D136" s="520"/>
      <c r="E136" s="520"/>
      <c r="F136" s="520"/>
    </row>
    <row r="137" spans="1:6" ht="15" customHeight="1">
      <c r="A137" s="520" t="str">
        <f>IF(D100,"","The trajec .par file of the rocket is missing")</f>
        <v>The trajec .par file of the rocket is missing</v>
      </c>
      <c r="B137" s="520"/>
      <c r="C137" s="520"/>
      <c r="D137" s="520"/>
      <c r="E137" s="520"/>
      <c r="F137" s="520"/>
    </row>
    <row r="138" spans="1:6" ht="15" customHeight="1">
      <c r="A138" s="517">
        <f>IF(D59,IF(D60,"","The radio-amateur's agreement to use the frequency is not attached"),"")</f>
      </c>
      <c r="B138" s="517"/>
      <c r="C138" s="517"/>
      <c r="D138" s="517"/>
      <c r="E138" s="517"/>
      <c r="F138" s="517"/>
    </row>
    <row r="139" spans="1:6" ht="15" customHeight="1">
      <c r="A139" s="517">
        <f>IF(D45="Oui",IF(D46,"","The request for dispensation is not attached"),"")</f>
      </c>
      <c r="B139" s="517"/>
      <c r="C139" s="517"/>
      <c r="D139" s="517"/>
      <c r="E139" s="517"/>
      <c r="F139" s="517"/>
    </row>
    <row r="140" spans="1:6" ht="15" customHeight="1">
      <c r="A140" s="517">
        <f>IF(C77&gt;15,"The fall down speed is higher than allowed in the book of specification","")</f>
      </c>
      <c r="B140" s="517"/>
      <c r="C140" s="517"/>
      <c r="D140" s="517"/>
      <c r="E140" s="517"/>
      <c r="F140" s="517"/>
    </row>
    <row r="141" spans="1:6" ht="15" customHeight="1">
      <c r="A141" s="517">
        <f>IF(D127="Oui",IF(D128,"","The safety file is not attached"),"")</f>
      </c>
      <c r="B141" s="517"/>
      <c r="C141" s="517"/>
      <c r="D141" s="517"/>
      <c r="E141" s="517"/>
      <c r="F141" s="517"/>
    </row>
    <row r="142" spans="1:6" ht="15" customHeight="1">
      <c r="A142" s="518"/>
      <c r="B142" s="518"/>
      <c r="C142" s="518"/>
      <c r="D142" s="518"/>
      <c r="E142" s="518"/>
      <c r="F142" s="518"/>
    </row>
    <row r="143" spans="1:6" ht="15" customHeight="1">
      <c r="A143" s="518"/>
      <c r="B143" s="518"/>
      <c r="C143" s="518"/>
      <c r="D143" s="518"/>
      <c r="E143" s="518"/>
      <c r="F143" s="518"/>
    </row>
    <row r="144" spans="1:6" ht="15" customHeight="1">
      <c r="A144" s="518"/>
      <c r="B144" s="518"/>
      <c r="C144" s="518"/>
      <c r="D144" s="518"/>
      <c r="E144" s="518"/>
      <c r="F144" s="518"/>
    </row>
    <row r="145" spans="1:6" ht="15" customHeight="1">
      <c r="A145" s="518"/>
      <c r="B145" s="518"/>
      <c r="C145" s="518"/>
      <c r="D145" s="518"/>
      <c r="E145" s="518"/>
      <c r="F145" s="518"/>
    </row>
    <row r="146" spans="1:6" ht="15" customHeight="1">
      <c r="A146" s="518"/>
      <c r="B146" s="518"/>
      <c r="C146" s="518"/>
      <c r="D146" s="518"/>
      <c r="E146" s="518"/>
      <c r="F146" s="518"/>
    </row>
    <row r="147" spans="1:6" ht="15" customHeight="1">
      <c r="A147" s="518"/>
      <c r="B147" s="518"/>
      <c r="C147" s="518"/>
      <c r="D147" s="518"/>
      <c r="E147" s="518"/>
      <c r="F147" s="518"/>
    </row>
    <row r="148" spans="1:6" ht="15" customHeight="1">
      <c r="A148" s="518"/>
      <c r="B148" s="518"/>
      <c r="C148" s="518"/>
      <c r="D148" s="518"/>
      <c r="E148" s="518"/>
      <c r="F148" s="518"/>
    </row>
    <row r="149" spans="1:7" ht="15" customHeight="1">
      <c r="A149" s="518"/>
      <c r="B149" s="518"/>
      <c r="C149" s="518"/>
      <c r="D149" s="518"/>
      <c r="E149" s="518"/>
      <c r="F149" s="518"/>
      <c r="G149" s="113"/>
    </row>
    <row r="150" spans="1:7" ht="12" customHeight="1">
      <c r="A150" s="451"/>
      <c r="B150" s="451"/>
      <c r="C150" s="451"/>
      <c r="D150" s="451"/>
      <c r="E150" s="451"/>
      <c r="F150" s="451"/>
      <c r="G150" s="113"/>
    </row>
    <row r="151" spans="1:6" ht="15" customHeight="1">
      <c r="A151" s="519" t="s">
        <v>262</v>
      </c>
      <c r="B151" s="519"/>
      <c r="C151" s="519"/>
      <c r="D151" s="519"/>
      <c r="E151" s="519"/>
      <c r="F151" s="519"/>
    </row>
    <row r="152" spans="1:6" ht="12" customHeight="1">
      <c r="A152" s="451"/>
      <c r="B152" s="451"/>
      <c r="C152" s="451"/>
      <c r="D152" s="451"/>
      <c r="E152" s="451"/>
      <c r="F152" s="451"/>
    </row>
    <row r="153" spans="1:6" ht="15" customHeight="1">
      <c r="A153" s="516"/>
      <c r="B153" s="516"/>
      <c r="C153" s="516"/>
      <c r="D153" s="516"/>
      <c r="E153" s="516"/>
      <c r="F153" s="516"/>
    </row>
    <row r="154" spans="1:6" ht="15" customHeight="1">
      <c r="A154" s="516"/>
      <c r="B154" s="516"/>
      <c r="C154" s="516"/>
      <c r="D154" s="516"/>
      <c r="E154" s="516"/>
      <c r="F154" s="516"/>
    </row>
    <row r="155" spans="1:6" ht="15" customHeight="1">
      <c r="A155" s="516"/>
      <c r="B155" s="516"/>
      <c r="C155" s="516"/>
      <c r="D155" s="516"/>
      <c r="E155" s="516"/>
      <c r="F155" s="516"/>
    </row>
    <row r="156" spans="1:6" ht="15" customHeight="1">
      <c r="A156" s="516"/>
      <c r="B156" s="516"/>
      <c r="C156" s="516"/>
      <c r="D156" s="516"/>
      <c r="E156" s="516"/>
      <c r="F156" s="516"/>
    </row>
    <row r="157" spans="1:6" ht="15" customHeight="1">
      <c r="A157" s="516"/>
      <c r="B157" s="516"/>
      <c r="C157" s="516"/>
      <c r="D157" s="516"/>
      <c r="E157" s="516"/>
      <c r="F157" s="516"/>
    </row>
    <row r="158" spans="1:6" ht="15" customHeight="1">
      <c r="A158" s="516"/>
      <c r="B158" s="516"/>
      <c r="C158" s="516"/>
      <c r="D158" s="516"/>
      <c r="E158" s="516"/>
      <c r="F158" s="516"/>
    </row>
    <row r="159" spans="1:6" ht="15" customHeight="1">
      <c r="A159" s="516"/>
      <c r="B159" s="516"/>
      <c r="C159" s="516"/>
      <c r="D159" s="516"/>
      <c r="E159" s="516"/>
      <c r="F159" s="516"/>
    </row>
    <row r="160" spans="1:6" ht="15" customHeight="1">
      <c r="A160" s="516"/>
      <c r="B160" s="516"/>
      <c r="C160" s="516"/>
      <c r="D160" s="516"/>
      <c r="E160" s="516"/>
      <c r="F160" s="516"/>
    </row>
  </sheetData>
  <sheetProtection password="DD05" sheet="1" objects="1" scenarios="1"/>
  <mergeCells count="181">
    <mergeCell ref="A8:F8"/>
    <mergeCell ref="A9:F9"/>
    <mergeCell ref="A1:F1"/>
    <mergeCell ref="A2:F2"/>
    <mergeCell ref="A3:F3"/>
    <mergeCell ref="A4:F4"/>
    <mergeCell ref="A5:F5"/>
    <mergeCell ref="A6:F6"/>
    <mergeCell ref="A27:F27"/>
    <mergeCell ref="A10:F10"/>
    <mergeCell ref="A11:F11"/>
    <mergeCell ref="B13:F13"/>
    <mergeCell ref="A14:F14"/>
    <mergeCell ref="B15:F15"/>
    <mergeCell ref="A17:F17"/>
    <mergeCell ref="A18:F18"/>
    <mergeCell ref="B19:C19"/>
    <mergeCell ref="D19:F19"/>
    <mergeCell ref="A32:F32"/>
    <mergeCell ref="A33:B33"/>
    <mergeCell ref="C33:F33"/>
    <mergeCell ref="A20:F20"/>
    <mergeCell ref="B21:C21"/>
    <mergeCell ref="D21:F21"/>
    <mergeCell ref="A22:F22"/>
    <mergeCell ref="A24:F24"/>
    <mergeCell ref="A25:F25"/>
    <mergeCell ref="A26:F26"/>
    <mergeCell ref="A28:F28"/>
    <mergeCell ref="A29:B29"/>
    <mergeCell ref="C29:F29"/>
    <mergeCell ref="A30:B30"/>
    <mergeCell ref="C30:F30"/>
    <mergeCell ref="A31:B31"/>
    <mergeCell ref="C31:F31"/>
    <mergeCell ref="A44:F44"/>
    <mergeCell ref="A34:B34"/>
    <mergeCell ref="C34:F34"/>
    <mergeCell ref="A35:B35"/>
    <mergeCell ref="C35:F35"/>
    <mergeCell ref="A36:F36"/>
    <mergeCell ref="A37:B37"/>
    <mergeCell ref="C37:F37"/>
    <mergeCell ref="A38:B38"/>
    <mergeCell ref="C38:F38"/>
    <mergeCell ref="A39:F39"/>
    <mergeCell ref="A40:B40"/>
    <mergeCell ref="C40:F40"/>
    <mergeCell ref="A41:F41"/>
    <mergeCell ref="A42:B43"/>
    <mergeCell ref="E42:F42"/>
    <mergeCell ref="E43:F43"/>
    <mergeCell ref="C57:F57"/>
    <mergeCell ref="A45:C45"/>
    <mergeCell ref="D45:F45"/>
    <mergeCell ref="A46:C46"/>
    <mergeCell ref="E46:F46"/>
    <mergeCell ref="A47:F47"/>
    <mergeCell ref="A48:F48"/>
    <mergeCell ref="A49:F49"/>
    <mergeCell ref="A50:F50"/>
    <mergeCell ref="C63:F65"/>
    <mergeCell ref="A51:F51"/>
    <mergeCell ref="A52:F52"/>
    <mergeCell ref="A53:F53"/>
    <mergeCell ref="A54:B54"/>
    <mergeCell ref="D54:F54"/>
    <mergeCell ref="A55:F55"/>
    <mergeCell ref="A56:B56"/>
    <mergeCell ref="C56:F56"/>
    <mergeCell ref="A57:B57"/>
    <mergeCell ref="C71:F71"/>
    <mergeCell ref="A58:F58"/>
    <mergeCell ref="A59:C59"/>
    <mergeCell ref="E59:F59"/>
    <mergeCell ref="A60:C60"/>
    <mergeCell ref="E60:F60"/>
    <mergeCell ref="A61:F61"/>
    <mergeCell ref="A62:B62"/>
    <mergeCell ref="D62:F62"/>
    <mergeCell ref="A63:B65"/>
    <mergeCell ref="C77:F77"/>
    <mergeCell ref="A66:B66"/>
    <mergeCell ref="D66:F66"/>
    <mergeCell ref="A67:F67"/>
    <mergeCell ref="A68:B68"/>
    <mergeCell ref="C68:F68"/>
    <mergeCell ref="A69:F69"/>
    <mergeCell ref="A70:B70"/>
    <mergeCell ref="D70:F70"/>
    <mergeCell ref="A71:B71"/>
    <mergeCell ref="A85:F85"/>
    <mergeCell ref="A86:B86"/>
    <mergeCell ref="C86:F86"/>
    <mergeCell ref="A72:F72"/>
    <mergeCell ref="A73:F73"/>
    <mergeCell ref="A74:F74"/>
    <mergeCell ref="A75:F75"/>
    <mergeCell ref="A76:B76"/>
    <mergeCell ref="D76:F76"/>
    <mergeCell ref="A77:B77"/>
    <mergeCell ref="A78:F78"/>
    <mergeCell ref="A79:B79"/>
    <mergeCell ref="D79:F79"/>
    <mergeCell ref="A80:F80"/>
    <mergeCell ref="A81:B84"/>
    <mergeCell ref="E84:F84"/>
    <mergeCell ref="A99:F99"/>
    <mergeCell ref="A87:F87"/>
    <mergeCell ref="A88:F88"/>
    <mergeCell ref="A89:F89"/>
    <mergeCell ref="A90:F90"/>
    <mergeCell ref="A91:F91"/>
    <mergeCell ref="A92:C92"/>
    <mergeCell ref="D92:F92"/>
    <mergeCell ref="A93:F93"/>
    <mergeCell ref="A105:F105"/>
    <mergeCell ref="A106:B106"/>
    <mergeCell ref="D106:F106"/>
    <mergeCell ref="A94:C94"/>
    <mergeCell ref="E94:F94"/>
    <mergeCell ref="A95:C95"/>
    <mergeCell ref="E95:F95"/>
    <mergeCell ref="A96:F96"/>
    <mergeCell ref="A97:F97"/>
    <mergeCell ref="A98:F98"/>
    <mergeCell ref="A100:C100"/>
    <mergeCell ref="E100:F100"/>
    <mergeCell ref="A101:F101"/>
    <mergeCell ref="A102:F102"/>
    <mergeCell ref="A103:F103"/>
    <mergeCell ref="A104:F104"/>
    <mergeCell ref="A107:F107"/>
    <mergeCell ref="A108:B108"/>
    <mergeCell ref="C108:F108"/>
    <mergeCell ref="A109:F109"/>
    <mergeCell ref="A112:F112"/>
    <mergeCell ref="A113:F113"/>
    <mergeCell ref="A110:B111"/>
    <mergeCell ref="C110:F111"/>
    <mergeCell ref="C125:F125"/>
    <mergeCell ref="A114:F114"/>
    <mergeCell ref="A115:F115"/>
    <mergeCell ref="A116:F116"/>
    <mergeCell ref="A117:F117"/>
    <mergeCell ref="A118:C118"/>
    <mergeCell ref="D118:F118"/>
    <mergeCell ref="A119:B119"/>
    <mergeCell ref="C119:F119"/>
    <mergeCell ref="A132:F132"/>
    <mergeCell ref="A120:F120"/>
    <mergeCell ref="A121:C121"/>
    <mergeCell ref="D121:F121"/>
    <mergeCell ref="A122:B122"/>
    <mergeCell ref="C122:F122"/>
    <mergeCell ref="A123:F123"/>
    <mergeCell ref="A124:C124"/>
    <mergeCell ref="D124:F124"/>
    <mergeCell ref="A125:B125"/>
    <mergeCell ref="A139:F139"/>
    <mergeCell ref="A140:F140"/>
    <mergeCell ref="A126:F126"/>
    <mergeCell ref="A127:C127"/>
    <mergeCell ref="D127:F127"/>
    <mergeCell ref="A128:C128"/>
    <mergeCell ref="E128:F128"/>
    <mergeCell ref="A129:F129"/>
    <mergeCell ref="A130:F130"/>
    <mergeCell ref="A131:F131"/>
    <mergeCell ref="A133:F133"/>
    <mergeCell ref="A134:F134"/>
    <mergeCell ref="A135:F135"/>
    <mergeCell ref="A136:F136"/>
    <mergeCell ref="A137:F137"/>
    <mergeCell ref="A138:F138"/>
    <mergeCell ref="A152:F152"/>
    <mergeCell ref="A153:F160"/>
    <mergeCell ref="A141:F141"/>
    <mergeCell ref="A142:F149"/>
    <mergeCell ref="A150:F150"/>
    <mergeCell ref="A151:F151"/>
  </mergeCells>
  <conditionalFormatting sqref="D66">
    <cfRule type="cellIs" priority="1" dxfId="0" operator="equal" stopIfTrue="1">
      <formula>"Sélectionner …"</formula>
    </cfRule>
  </conditionalFormatting>
  <conditionalFormatting sqref="B19:C19 B21:C21 C54 C62 C66 C70 C76 C79 C106 D45:F45 D92:E92 D118:E118 D121:E121 D124:E124 D127:E127">
    <cfRule type="cellIs" priority="2" dxfId="0" operator="equal" stopIfTrue="1">
      <formula>"Select…"</formula>
    </cfRule>
  </conditionalFormatting>
  <dataValidations count="9">
    <dataValidation type="whole" operator="greaterThan" allowBlank="1" showErrorMessage="1" sqref="C77 C86:F86">
      <formula1>1</formula1>
    </dataValidation>
    <dataValidation type="list" allowBlank="1" showErrorMessage="1" sqref="C62">
      <formula1>TelemetryType</formula1>
      <formula2>0</formula2>
    </dataValidation>
    <dataValidation type="list" allowBlank="1" showErrorMessage="1" sqref="B19:C19">
      <formula1>TypeProjets</formula1>
      <formula2>0</formula2>
    </dataValidation>
    <dataValidation type="list" allowBlank="1" showErrorMessage="1" sqref="B21:C21">
      <formula1>TypeMoteurs</formula1>
      <formula2>0</formula2>
    </dataValidation>
    <dataValidation type="list" allowBlank="1" showErrorMessage="1" sqref="C54">
      <formula1>TransmitterType</formula1>
      <formula2>0</formula2>
    </dataValidation>
    <dataValidation type="list" allowBlank="1" showErrorMessage="1" sqref="D45:F45 C66 C70 C106 D118:F118 D121:F121 D124:F124 D127:F127">
      <formula1>QuestionType</formula1>
      <formula2>0</formula2>
    </dataValidation>
    <dataValidation type="list" allowBlank="1" showErrorMessage="1" sqref="C76">
      <formula1>RecoveryType</formula1>
      <formula2>0</formula2>
    </dataValidation>
    <dataValidation type="list" allowBlank="1" showErrorMessage="1" sqref="C79">
      <formula1>EjectionType</formula1>
      <formula2>0</formula2>
    </dataValidation>
    <dataValidation type="list" allowBlank="1" showErrorMessage="1" sqref="D92:E92">
      <formula1>StructuralType</formula1>
      <formula2>0</formula2>
    </dataValidation>
  </dataValidations>
  <printOptions horizontalCentered="1"/>
  <pageMargins left="0.7875" right="0.7875" top="0.39375" bottom="0.39375" header="0.5118055555555555" footer="0.5118055555555555"/>
  <pageSetup horizontalDpi="300" verticalDpi="300" orientation="portrait" paperSize="9" scale="69"/>
  <rowBreaks count="2" manualBreakCount="2">
    <brk id="72" max="5" man="1"/>
    <brk id="113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191"/>
  <sheetViews>
    <sheetView showGridLines="0" zoomScale="85" zoomScaleNormal="85" zoomScaleSheetLayoutView="85" workbookViewId="0" topLeftCell="A61">
      <selection activeCell="I57" sqref="I57:I58"/>
    </sheetView>
  </sheetViews>
  <sheetFormatPr defaultColWidth="11.57421875" defaultRowHeight="12.75"/>
  <cols>
    <col min="1" max="1" width="14.421875" style="39" customWidth="1"/>
    <col min="2" max="2" width="5.00390625" style="39" customWidth="1"/>
    <col min="3" max="3" width="9.28125" style="39" customWidth="1"/>
    <col min="4" max="4" width="10.8515625" style="39" customWidth="1"/>
    <col min="5" max="5" width="2.7109375" style="39" customWidth="1"/>
    <col min="6" max="6" width="17.421875" style="39" customWidth="1"/>
    <col min="7" max="7" width="2.421875" style="39" customWidth="1"/>
    <col min="8" max="9" width="3.7109375" style="39" customWidth="1"/>
    <col min="10" max="10" width="4.140625" style="39" customWidth="1"/>
    <col min="11" max="11" width="7.140625" style="39" customWidth="1"/>
    <col min="12" max="12" width="7.00390625" style="39" customWidth="1"/>
    <col min="13" max="13" width="8.8515625" style="39" customWidth="1"/>
    <col min="14" max="14" width="9.140625" style="39" customWidth="1"/>
    <col min="15" max="15" width="1.421875" style="39" customWidth="1"/>
    <col min="16" max="16" width="13.28125" style="39" customWidth="1"/>
    <col min="17" max="17" width="6.421875" style="39" customWidth="1"/>
    <col min="18" max="18" width="2.421875" style="39" customWidth="1"/>
    <col min="19" max="16384" width="11.421875" style="39" customWidth="1"/>
  </cols>
  <sheetData>
    <row r="1" ht="12">
      <c r="A1" s="46"/>
    </row>
    <row r="2" spans="1:17" ht="18">
      <c r="A2" s="565" t="s">
        <v>286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4" spans="1:17" ht="18">
      <c r="A4" s="565" t="str">
        <f>ANNEE</f>
        <v>2011-2012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</row>
    <row r="6" spans="1:17" ht="16.5">
      <c r="A6" s="566" t="s">
        <v>9</v>
      </c>
      <c r="B6" s="566"/>
      <c r="C6" s="566"/>
      <c r="D6" s="567">
        <f>IF('1-Déclaration'!B14=Source!A6,'1-Déclaration'!B12,"")</f>
      </c>
      <c r="E6" s="567"/>
      <c r="F6" s="567"/>
      <c r="G6" s="567"/>
      <c r="H6" s="566" t="s">
        <v>287</v>
      </c>
      <c r="I6" s="566"/>
      <c r="J6" s="566"/>
      <c r="K6" s="566"/>
      <c r="L6" s="566"/>
      <c r="M6" s="566"/>
      <c r="N6" s="567"/>
      <c r="O6" s="567"/>
      <c r="P6" s="567"/>
      <c r="Q6" s="118"/>
    </row>
    <row r="7" spans="1:17" ht="1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119"/>
    </row>
    <row r="8" spans="1:17" ht="16.5">
      <c r="A8" s="566" t="s">
        <v>10</v>
      </c>
      <c r="B8" s="566"/>
      <c r="C8" s="566"/>
      <c r="D8" s="568" t="s">
        <v>288</v>
      </c>
      <c r="E8" s="568"/>
      <c r="F8" s="568"/>
      <c r="G8" s="568"/>
      <c r="H8" s="566" t="s">
        <v>289</v>
      </c>
      <c r="I8" s="566"/>
      <c r="J8" s="566"/>
      <c r="K8" s="566"/>
      <c r="L8" s="566"/>
      <c r="M8" s="566"/>
      <c r="N8" s="120">
        <f>(N19+N27+N54+N77+N98)/100</f>
        <v>0</v>
      </c>
      <c r="O8" s="121"/>
      <c r="P8" s="122"/>
      <c r="Q8" s="118"/>
    </row>
    <row r="9" spans="1:17" ht="16.5">
      <c r="A9" s="123"/>
      <c r="B9" s="121"/>
      <c r="C9" s="569" t="s">
        <v>290</v>
      </c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120">
        <f>(N108+N138+N171)/100</f>
        <v>0</v>
      </c>
      <c r="O9" s="121"/>
      <c r="P9" s="122"/>
      <c r="Q9" s="118"/>
    </row>
    <row r="10" spans="1:17" ht="13.5" customHeight="1">
      <c r="A10" s="124"/>
      <c r="B10" s="125"/>
      <c r="C10" s="125"/>
      <c r="D10" s="125"/>
      <c r="E10" s="125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1:17" ht="13.5" customHeight="1">
      <c r="A11" s="563" t="s">
        <v>291</v>
      </c>
      <c r="B11" s="563"/>
      <c r="C11" s="128">
        <f>N19</f>
        <v>0</v>
      </c>
      <c r="D11" s="129"/>
      <c r="E11" s="129"/>
      <c r="F11" s="129"/>
      <c r="G11" s="563" t="str">
        <f>A98</f>
        <v>Général</v>
      </c>
      <c r="H11" s="563"/>
      <c r="I11" s="563"/>
      <c r="J11" s="563"/>
      <c r="K11" s="563"/>
      <c r="L11" s="130">
        <f>N98</f>
        <v>0</v>
      </c>
      <c r="M11" s="127"/>
      <c r="N11" s="127"/>
      <c r="O11" s="127"/>
      <c r="P11" s="127"/>
      <c r="Q11" s="127"/>
    </row>
    <row r="12" spans="1:17" ht="13.5" customHeight="1">
      <c r="A12" s="563" t="s">
        <v>292</v>
      </c>
      <c r="B12" s="563"/>
      <c r="C12" s="128">
        <f>N27</f>
        <v>0</v>
      </c>
      <c r="D12" s="129"/>
      <c r="E12" s="129"/>
      <c r="F12" s="129"/>
      <c r="G12" s="564" t="str">
        <f>A108</f>
        <v>Définition d'expérience</v>
      </c>
      <c r="H12" s="564"/>
      <c r="I12" s="564"/>
      <c r="J12" s="564"/>
      <c r="K12" s="564"/>
      <c r="L12" s="130">
        <f>N108</f>
        <v>0</v>
      </c>
      <c r="M12" s="127"/>
      <c r="N12" s="127"/>
      <c r="O12" s="127"/>
      <c r="P12" s="127"/>
      <c r="Q12" s="127"/>
    </row>
    <row r="13" spans="1:17" ht="13.5" customHeight="1">
      <c r="A13" s="563" t="s">
        <v>293</v>
      </c>
      <c r="B13" s="563"/>
      <c r="C13" s="128">
        <f>N54</f>
        <v>0</v>
      </c>
      <c r="G13" s="563" t="str">
        <f>A138</f>
        <v>Expérience</v>
      </c>
      <c r="H13" s="563"/>
      <c r="I13" s="563"/>
      <c r="J13" s="563"/>
      <c r="K13" s="563"/>
      <c r="L13" s="128">
        <f>N138</f>
        <v>0</v>
      </c>
      <c r="M13" s="131"/>
      <c r="N13" s="131"/>
      <c r="O13" s="131"/>
      <c r="P13" s="132"/>
      <c r="Q13" s="131"/>
    </row>
    <row r="14" spans="1:17" ht="13.5" customHeight="1">
      <c r="A14" s="563" t="s">
        <v>294</v>
      </c>
      <c r="B14" s="563"/>
      <c r="C14" s="128">
        <f>N77</f>
        <v>0</v>
      </c>
      <c r="G14" s="564" t="str">
        <f>A171</f>
        <v>Télémesure / Stockage</v>
      </c>
      <c r="H14" s="564"/>
      <c r="I14" s="564"/>
      <c r="J14" s="564"/>
      <c r="K14" s="564"/>
      <c r="L14" s="128">
        <f>N171</f>
        <v>0</v>
      </c>
      <c r="P14" s="46"/>
      <c r="Q14" s="133"/>
    </row>
    <row r="15" spans="1:17" ht="13.5" customHeight="1">
      <c r="A15" s="134"/>
      <c r="B15" s="134"/>
      <c r="G15" s="135"/>
      <c r="H15" s="135"/>
      <c r="I15" s="135"/>
      <c r="J15" s="135"/>
      <c r="K15" s="136"/>
      <c r="P15" s="46"/>
      <c r="Q15" s="46"/>
    </row>
    <row r="16" spans="1:17" ht="13.5" customHeight="1">
      <c r="A16" s="137" t="s">
        <v>295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46"/>
    </row>
    <row r="17" spans="1:17" ht="13.5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  <c r="Q17" s="46"/>
    </row>
    <row r="18" spans="1:17" ht="13.5" customHeight="1">
      <c r="A18" s="134"/>
      <c r="B18" s="134"/>
      <c r="G18" s="143"/>
      <c r="H18" s="143"/>
      <c r="I18" s="143"/>
      <c r="J18" s="143"/>
      <c r="K18" s="144"/>
      <c r="P18" s="46"/>
      <c r="Q18" s="46"/>
    </row>
    <row r="19" spans="1:17" ht="15">
      <c r="A19" s="54" t="s">
        <v>291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 t="s">
        <v>296</v>
      </c>
      <c r="N19" s="145">
        <f>IF(AND(NOT(EXACT(L25,"")),NOT(EXACT(L47,""))),(L25+L47)*100,IF(AND(EXACT(L25,""),NOT(EXACT(L47,""))),L47*100,IF(AND(NOT(EXACT(L25,"")),EXACT(L47,"")),L25*100,0)))</f>
        <v>0</v>
      </c>
      <c r="O19" s="55" t="s">
        <v>297</v>
      </c>
      <c r="P19" s="146">
        <f>(K25+K47)*100</f>
        <v>8</v>
      </c>
      <c r="Q19" s="147"/>
    </row>
    <row r="20" spans="1:17" ht="12">
      <c r="A20" s="57"/>
      <c r="B20" s="148"/>
      <c r="C20" s="148"/>
      <c r="D20" s="148"/>
      <c r="E20" s="148"/>
      <c r="F20" s="148"/>
      <c r="G20" s="46"/>
      <c r="H20" s="148"/>
      <c r="I20" s="148"/>
      <c r="J20" s="148"/>
      <c r="K20" s="148"/>
      <c r="L20" s="148"/>
      <c r="M20" s="149" t="s">
        <v>298</v>
      </c>
      <c r="N20" s="150"/>
      <c r="O20" s="150"/>
      <c r="P20" s="65"/>
      <c r="Q20" s="46"/>
    </row>
    <row r="21" spans="1:17" ht="12">
      <c r="A21" s="57"/>
      <c r="B21" s="148"/>
      <c r="C21" s="148"/>
      <c r="D21" s="148"/>
      <c r="E21" s="148"/>
      <c r="F21" s="148"/>
      <c r="G21" s="46"/>
      <c r="H21" s="151">
        <v>0</v>
      </c>
      <c r="I21" s="152">
        <v>0.5</v>
      </c>
      <c r="J21" s="151">
        <v>1</v>
      </c>
      <c r="K21" s="148"/>
      <c r="L21" s="148"/>
      <c r="M21" s="149"/>
      <c r="N21" s="150"/>
      <c r="O21" s="150"/>
      <c r="P21" s="65"/>
      <c r="Q21" s="46"/>
    </row>
    <row r="22" spans="1:17" ht="13.5" customHeight="1">
      <c r="A22" s="57"/>
      <c r="B22" s="148"/>
      <c r="C22" s="148"/>
      <c r="D22" s="153"/>
      <c r="E22" s="148"/>
      <c r="F22" s="154"/>
      <c r="G22" s="46"/>
      <c r="H22" s="544" t="s">
        <v>299</v>
      </c>
      <c r="I22" s="544" t="s">
        <v>300</v>
      </c>
      <c r="J22" s="544" t="s">
        <v>301</v>
      </c>
      <c r="K22" s="148"/>
      <c r="L22" s="148"/>
      <c r="M22" s="155" t="s">
        <v>302</v>
      </c>
      <c r="N22" s="156"/>
      <c r="O22" s="156"/>
      <c r="P22" s="65"/>
      <c r="Q22" s="46"/>
    </row>
    <row r="23" spans="1:17" ht="13.5" customHeight="1">
      <c r="A23" s="157" t="s">
        <v>303</v>
      </c>
      <c r="B23" s="148"/>
      <c r="C23" s="148"/>
      <c r="D23" s="158"/>
      <c r="E23" s="159"/>
      <c r="F23" s="160"/>
      <c r="G23" s="161"/>
      <c r="H23" s="544"/>
      <c r="I23" s="544"/>
      <c r="J23" s="544"/>
      <c r="K23" s="162" t="s">
        <v>304</v>
      </c>
      <c r="L23" s="163" t="s">
        <v>305</v>
      </c>
      <c r="M23" s="561" t="s">
        <v>306</v>
      </c>
      <c r="N23" s="561"/>
      <c r="O23" s="561"/>
      <c r="P23" s="561"/>
      <c r="Q23" s="46"/>
    </row>
    <row r="24" spans="1:17" ht="12">
      <c r="A24" s="539" t="s">
        <v>307</v>
      </c>
      <c r="B24" s="539"/>
      <c r="C24" s="539"/>
      <c r="D24" s="539"/>
      <c r="E24" s="539"/>
      <c r="F24" s="539"/>
      <c r="G24" s="539"/>
      <c r="H24" s="164"/>
      <c r="I24" s="165"/>
      <c r="J24" s="166"/>
      <c r="K24" s="167"/>
      <c r="L24" s="167"/>
      <c r="M24" s="561"/>
      <c r="N24" s="561"/>
      <c r="O24" s="561"/>
      <c r="P24" s="561"/>
      <c r="Q24" s="46"/>
    </row>
    <row r="25" spans="1:17" ht="12">
      <c r="A25" s="168"/>
      <c r="B25" s="148"/>
      <c r="C25" s="148"/>
      <c r="D25" s="169"/>
      <c r="E25" s="148"/>
      <c r="F25" s="169"/>
      <c r="G25" s="48"/>
      <c r="H25" s="540" t="s">
        <v>296</v>
      </c>
      <c r="I25" s="540"/>
      <c r="J25" s="540"/>
      <c r="K25" s="171">
        <v>0.08</v>
      </c>
      <c r="L25" s="172">
        <f>IF(AND(EXACT(H24,""),EXACT(I24,""),EXACT(J24,"")),"",IF(NOT(EXACT(J24,"")),IF(NOT(EXACT(K25,"")),K25*J21,""),IF(NOT(EXACT(I24,"")),IF(NOT(EXACT(K25,"")),K25*I21,""),IF(NOT(EXACT(H24,"")),IF(NOT(EXACT(K25,"")),K25*H21,"")))))</f>
      </c>
      <c r="M25" s="562"/>
      <c r="N25" s="562"/>
      <c r="O25" s="562"/>
      <c r="P25" s="562"/>
      <c r="Q25" s="48"/>
    </row>
    <row r="26" spans="1:16" ht="13.5" customHeight="1">
      <c r="A26" s="173"/>
      <c r="B26" s="174"/>
      <c r="C26" s="174"/>
      <c r="D26" s="174"/>
      <c r="E26" s="174"/>
      <c r="F26" s="174"/>
      <c r="G26" s="175"/>
      <c r="H26" s="175"/>
      <c r="I26" s="175"/>
      <c r="J26" s="175"/>
      <c r="K26" s="175"/>
      <c r="L26" s="175"/>
      <c r="M26" s="562"/>
      <c r="N26" s="562"/>
      <c r="O26" s="562"/>
      <c r="P26" s="562"/>
    </row>
    <row r="27" spans="1:17" ht="15">
      <c r="A27" s="176" t="s">
        <v>292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 t="s">
        <v>296</v>
      </c>
      <c r="N27" s="178">
        <f>IF(AND(NOT(EXACT(L37,"")),NOT(EXACT(L46,"")),NOT(EXACT(L52,""))),(L37+L46+L52)*100,0)</f>
        <v>0</v>
      </c>
      <c r="O27" s="177" t="s">
        <v>297</v>
      </c>
      <c r="P27" s="179">
        <f>(K37+K46+K52)*100</f>
        <v>33</v>
      </c>
      <c r="Q27" s="180"/>
    </row>
    <row r="28" spans="1:17" ht="15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3" t="s">
        <v>298</v>
      </c>
      <c r="N28" s="184"/>
      <c r="O28" s="184"/>
      <c r="P28" s="185"/>
      <c r="Q28" s="180"/>
    </row>
    <row r="29" spans="1:17" ht="12">
      <c r="A29" s="186" t="s">
        <v>308</v>
      </c>
      <c r="B29" s="187"/>
      <c r="C29" s="187"/>
      <c r="D29" s="187"/>
      <c r="E29" s="187"/>
      <c r="F29" s="187"/>
      <c r="G29" s="188"/>
      <c r="H29" s="548"/>
      <c r="I29" s="548"/>
      <c r="J29" s="548"/>
      <c r="K29" s="190"/>
      <c r="L29" s="191"/>
      <c r="M29" s="192"/>
      <c r="N29" s="46"/>
      <c r="O29" s="46"/>
      <c r="P29" s="65"/>
      <c r="Q29" s="46"/>
    </row>
    <row r="30" spans="1:17" ht="12">
      <c r="A30" s="193"/>
      <c r="B30" s="161"/>
      <c r="C30" s="161"/>
      <c r="D30" s="161"/>
      <c r="E30" s="161"/>
      <c r="F30" s="161"/>
      <c r="G30" s="194"/>
      <c r="H30" s="195">
        <v>0.25</v>
      </c>
      <c r="I30" s="196">
        <v>0.75</v>
      </c>
      <c r="J30" s="195">
        <v>1</v>
      </c>
      <c r="K30" s="197"/>
      <c r="L30" s="154"/>
      <c r="M30" s="192"/>
      <c r="N30" s="46"/>
      <c r="O30" s="46"/>
      <c r="P30" s="65"/>
      <c r="Q30" s="46"/>
    </row>
    <row r="31" spans="1:17" ht="21" customHeight="1">
      <c r="A31" s="198"/>
      <c r="B31" s="148"/>
      <c r="C31" s="148"/>
      <c r="D31" s="148"/>
      <c r="E31" s="148"/>
      <c r="F31" s="148"/>
      <c r="G31" s="199"/>
      <c r="H31" s="544" t="s">
        <v>309</v>
      </c>
      <c r="I31" s="544" t="s">
        <v>310</v>
      </c>
      <c r="J31" s="544" t="s">
        <v>311</v>
      </c>
      <c r="K31" s="200"/>
      <c r="L31" s="160"/>
      <c r="M31" s="201"/>
      <c r="N31" s="202"/>
      <c r="O31" s="202"/>
      <c r="P31" s="199" t="s">
        <v>77</v>
      </c>
      <c r="Q31" s="202"/>
    </row>
    <row r="32" spans="1:17" ht="13.5" customHeight="1">
      <c r="A32" s="198"/>
      <c r="B32" s="148"/>
      <c r="C32" s="148"/>
      <c r="D32" s="148"/>
      <c r="E32" s="148"/>
      <c r="F32" s="148"/>
      <c r="G32" s="199"/>
      <c r="H32" s="544"/>
      <c r="I32" s="544"/>
      <c r="J32" s="544"/>
      <c r="K32" s="162" t="s">
        <v>304</v>
      </c>
      <c r="L32" s="203" t="s">
        <v>305</v>
      </c>
      <c r="M32" s="201"/>
      <c r="N32" s="202"/>
      <c r="O32" s="202"/>
      <c r="P32" s="199"/>
      <c r="Q32" s="202"/>
    </row>
    <row r="33" spans="1:17" ht="12">
      <c r="A33" s="204"/>
      <c r="B33" s="205" t="s">
        <v>312</v>
      </c>
      <c r="C33" s="206"/>
      <c r="D33" s="546"/>
      <c r="E33" s="546"/>
      <c r="F33" s="546"/>
      <c r="G33" s="546"/>
      <c r="H33" s="207"/>
      <c r="I33" s="207"/>
      <c r="J33" s="208"/>
      <c r="K33" s="209">
        <v>0.02</v>
      </c>
      <c r="L33" s="210">
        <f>IF(OR(AND(EXACT(H33,""),EXACT(I33,""),EXACT(J33,"")),EXACT($H$29,"")),"",IF(NOT(EXACT(J33,"")),IF(NOT(EXACT(K33,"")),K33*J30,""),IF(NOT(EXACT(I33,"")),IF(NOT(EXACT(K33,"")),K33*I30,""),IF(NOT(EXACT(H33,"")),IF(NOT(EXACT(K33,"")),K33*H30,"")))))</f>
      </c>
      <c r="M33" s="192"/>
      <c r="N33" s="46"/>
      <c r="O33" s="46"/>
      <c r="P33" s="65"/>
      <c r="Q33" s="46"/>
    </row>
    <row r="34" spans="1:17" ht="12">
      <c r="A34" s="204"/>
      <c r="B34" s="211" t="s">
        <v>313</v>
      </c>
      <c r="C34" s="212"/>
      <c r="D34" s="547"/>
      <c r="E34" s="547"/>
      <c r="F34" s="547"/>
      <c r="G34" s="547"/>
      <c r="H34" s="207"/>
      <c r="I34" s="207"/>
      <c r="J34" s="208"/>
      <c r="K34" s="209">
        <v>0.02</v>
      </c>
      <c r="L34" s="210">
        <f>IF(OR(AND(EXACT(H34,""),EXACT(I34,""),EXACT(J34,"")),EXACT($H$29,"")),"",IF(NOT(EXACT(J34,"")),IF(NOT(EXACT(K34,"")),K34*J30,""),IF(NOT(EXACT(I34,"")),IF(NOT(EXACT(K34,"")),K34*I30,""),IF(NOT(EXACT(H34,"")),IF(NOT(EXACT(K34,"")),K34*H30,"")))))</f>
      </c>
      <c r="M34" s="192"/>
      <c r="N34" s="46"/>
      <c r="O34" s="46"/>
      <c r="P34" s="65"/>
      <c r="Q34" s="46"/>
    </row>
    <row r="35" spans="1:17" ht="12">
      <c r="A35" s="204"/>
      <c r="B35" s="213" t="s">
        <v>314</v>
      </c>
      <c r="C35" s="212"/>
      <c r="D35" s="547"/>
      <c r="E35" s="547"/>
      <c r="F35" s="547"/>
      <c r="G35" s="547"/>
      <c r="H35" s="207"/>
      <c r="I35" s="207"/>
      <c r="J35" s="208"/>
      <c r="K35" s="209">
        <v>0.02</v>
      </c>
      <c r="L35" s="210">
        <f>IF(OR(AND(EXACT(H35,""),EXACT(I35,""),EXACT(J35,"")),EXACT($H$29,"")),"",IF(NOT(EXACT(J35,"")),IF(NOT(EXACT(K35,"")),K35*J30,""),IF(NOT(EXACT(I35,"")),IF(NOT(EXACT(K35,"")),K35*I30,""),IF(NOT(EXACT(H35,"")),IF(NOT(EXACT(K35,"")),K35*H30,"")))))</f>
      </c>
      <c r="M35" s="192"/>
      <c r="N35" s="46"/>
      <c r="O35" s="46"/>
      <c r="P35" s="65"/>
      <c r="Q35" s="46"/>
    </row>
    <row r="36" spans="1:17" ht="12">
      <c r="A36" s="204"/>
      <c r="B36" s="214" t="s">
        <v>315</v>
      </c>
      <c r="C36" s="215"/>
      <c r="D36" s="542"/>
      <c r="E36" s="542"/>
      <c r="F36" s="542"/>
      <c r="G36" s="542"/>
      <c r="H36" s="207"/>
      <c r="I36" s="207"/>
      <c r="J36" s="208"/>
      <c r="K36" s="209">
        <v>0.02</v>
      </c>
      <c r="L36" s="210">
        <f>IF(OR(AND(EXACT(H36,""),EXACT(I36,""),EXACT(J36,"")),EXACT($H$29,"")),"",IF(NOT(EXACT(J36,"")),IF(NOT(EXACT(K36,"")),K36*J30,""),IF(NOT(EXACT(I36,"")),IF(NOT(EXACT(K36,"")),K36*I30,""),IF(NOT(EXACT(H36,"")),IF(NOT(EXACT(K36,"")),K36*H30,"")))))</f>
      </c>
      <c r="M36" s="192"/>
      <c r="N36" s="46"/>
      <c r="O36" s="46"/>
      <c r="P36" s="216"/>
      <c r="Q36" s="217"/>
    </row>
    <row r="37" spans="1:17" ht="12">
      <c r="A37" s="192"/>
      <c r="B37" s="161"/>
      <c r="C37" s="161"/>
      <c r="D37" s="161"/>
      <c r="E37" s="161"/>
      <c r="F37" s="161"/>
      <c r="G37" s="161"/>
      <c r="H37" s="540" t="s">
        <v>296</v>
      </c>
      <c r="I37" s="540"/>
      <c r="J37" s="540"/>
      <c r="K37" s="171">
        <v>0.08</v>
      </c>
      <c r="L37" s="218">
        <f>IF(EXACT(H29,""),"",IF(H29=0,K37,SUM(L33:L36)))</f>
      </c>
      <c r="M37" s="192"/>
      <c r="N37" s="46"/>
      <c r="O37" s="46"/>
      <c r="P37" s="65"/>
      <c r="Q37" s="46"/>
    </row>
    <row r="38" spans="1:17" ht="12">
      <c r="A38" s="219"/>
      <c r="B38" s="161"/>
      <c r="C38" s="161"/>
      <c r="D38" s="161"/>
      <c r="E38" s="161"/>
      <c r="F38" s="161"/>
      <c r="G38" s="161"/>
      <c r="H38" s="148"/>
      <c r="I38" s="148"/>
      <c r="J38" s="148"/>
      <c r="K38" s="220"/>
      <c r="L38" s="220"/>
      <c r="M38" s="192"/>
      <c r="N38" s="46"/>
      <c r="O38" s="46"/>
      <c r="P38" s="65"/>
      <c r="Q38" s="46"/>
    </row>
    <row r="39" spans="1:17" ht="12">
      <c r="A39" s="221"/>
      <c r="B39" s="222"/>
      <c r="C39" s="222"/>
      <c r="D39" s="222"/>
      <c r="E39" s="222"/>
      <c r="F39" s="222"/>
      <c r="G39" s="223"/>
      <c r="H39" s="151">
        <v>0</v>
      </c>
      <c r="I39" s="152">
        <v>0.75</v>
      </c>
      <c r="J39" s="152">
        <v>1</v>
      </c>
      <c r="K39" s="223"/>
      <c r="L39" s="67"/>
      <c r="M39" s="201"/>
      <c r="N39" s="202"/>
      <c r="O39" s="202"/>
      <c r="P39" s="65"/>
      <c r="Q39" s="46"/>
    </row>
    <row r="40" spans="1:17" ht="13.5" customHeight="1">
      <c r="A40" s="57"/>
      <c r="B40" s="148"/>
      <c r="C40" s="148"/>
      <c r="D40" s="153"/>
      <c r="E40" s="148"/>
      <c r="F40" s="543"/>
      <c r="G40" s="46"/>
      <c r="H40" s="544" t="s">
        <v>299</v>
      </c>
      <c r="I40" s="544" t="s">
        <v>316</v>
      </c>
      <c r="J40" s="544" t="s">
        <v>317</v>
      </c>
      <c r="K40" s="46"/>
      <c r="L40" s="46"/>
      <c r="M40" s="155" t="s">
        <v>302</v>
      </c>
      <c r="N40" s="156"/>
      <c r="O40" s="156"/>
      <c r="P40" s="65"/>
      <c r="Q40" s="46"/>
    </row>
    <row r="41" spans="1:17" ht="17.25" customHeight="1">
      <c r="A41" s="157"/>
      <c r="B41" s="148"/>
      <c r="C41" s="148"/>
      <c r="D41" s="158"/>
      <c r="E41" s="159"/>
      <c r="F41" s="543"/>
      <c r="G41" s="161"/>
      <c r="H41" s="544"/>
      <c r="I41" s="544"/>
      <c r="J41" s="544"/>
      <c r="K41" s="162" t="s">
        <v>304</v>
      </c>
      <c r="L41" s="203" t="s">
        <v>305</v>
      </c>
      <c r="M41" s="560" t="s">
        <v>318</v>
      </c>
      <c r="N41" s="560"/>
      <c r="O41" s="560"/>
      <c r="P41" s="560"/>
      <c r="Q41" s="46"/>
    </row>
    <row r="42" spans="1:17" ht="12">
      <c r="A42" s="539" t="s">
        <v>319</v>
      </c>
      <c r="B42" s="539"/>
      <c r="C42" s="539"/>
      <c r="D42" s="539"/>
      <c r="E42" s="539"/>
      <c r="F42" s="539"/>
      <c r="G42" s="539"/>
      <c r="H42" s="208"/>
      <c r="I42" s="208"/>
      <c r="J42" s="208"/>
      <c r="K42" s="224">
        <v>0.04</v>
      </c>
      <c r="L42" s="210">
        <f>IF(AND(EXACT(H42,""),EXACT(I42,""),EXACT(J42,"")),"",IF(NOT(EXACT(J42,"")),IF(NOT(EXACT(K42,"")),K42*$J$39,""),IF(NOT(EXACT(I42,"")),IF(NOT(EXACT(K42,"")),K42*$I$39,""),IF(NOT(EXACT(H42,"")),IF(NOT(EXACT(K42,"")),K42*$H$39,"")))))</f>
      </c>
      <c r="M42" s="560"/>
      <c r="N42" s="560"/>
      <c r="O42" s="560"/>
      <c r="P42" s="560"/>
      <c r="Q42" s="46"/>
    </row>
    <row r="43" spans="1:17" ht="12">
      <c r="A43" s="539" t="s">
        <v>320</v>
      </c>
      <c r="B43" s="539"/>
      <c r="C43" s="539"/>
      <c r="D43" s="539"/>
      <c r="E43" s="539"/>
      <c r="F43" s="539"/>
      <c r="G43" s="539"/>
      <c r="H43" s="208"/>
      <c r="I43" s="208"/>
      <c r="J43" s="208"/>
      <c r="K43" s="224">
        <v>0.04</v>
      </c>
      <c r="L43" s="210">
        <f>IF(AND(EXACT(H43,""),EXACT(I43,""),EXACT(J43,"")),"",IF(NOT(EXACT(J43,"")),IF(NOT(EXACT(K43,"")),K43*$J$39,""),IF(NOT(EXACT(I43,"")),IF(NOT(EXACT(K43,"")),K43*$I$39,""),IF(NOT(EXACT(H43,"")),IF(NOT(EXACT(K43,"")),K43*$H$39,"")))))</f>
      </c>
      <c r="M43" s="560"/>
      <c r="N43" s="560"/>
      <c r="O43" s="560"/>
      <c r="P43" s="560"/>
      <c r="Q43" s="48"/>
    </row>
    <row r="44" spans="1:17" ht="12">
      <c r="A44" s="539" t="s">
        <v>321</v>
      </c>
      <c r="B44" s="539"/>
      <c r="C44" s="539"/>
      <c r="D44" s="539"/>
      <c r="E44" s="539"/>
      <c r="F44" s="539"/>
      <c r="G44" s="539"/>
      <c r="H44" s="208"/>
      <c r="I44" s="208"/>
      <c r="J44" s="208"/>
      <c r="K44" s="224">
        <v>0.04</v>
      </c>
      <c r="L44" s="210">
        <f>IF(AND(EXACT(H44,""),EXACT(I44,""),EXACT(J44,"")),"",IF(NOT(EXACT(J44,"")),IF(NOT(EXACT(K44,"")),K44*$J$39,""),IF(NOT(EXACT(I44,"")),IF(NOT(EXACT(K44,"")),K44*$I$39,""),IF(NOT(EXACT(H44,"")),IF(NOT(EXACT(K44,"")),K44*$H$39,"")))))</f>
      </c>
      <c r="M44" s="560"/>
      <c r="N44" s="560"/>
      <c r="O44" s="560"/>
      <c r="P44" s="560"/>
      <c r="Q44" s="48"/>
    </row>
    <row r="45" spans="1:17" ht="12">
      <c r="A45" s="539" t="s">
        <v>322</v>
      </c>
      <c r="B45" s="539"/>
      <c r="C45" s="539"/>
      <c r="D45" s="539"/>
      <c r="E45" s="539"/>
      <c r="F45" s="539"/>
      <c r="G45" s="539"/>
      <c r="H45" s="208"/>
      <c r="I45" s="208"/>
      <c r="J45" s="208"/>
      <c r="K45" s="224">
        <v>0.06</v>
      </c>
      <c r="L45" s="210">
        <f>IF(AND(EXACT(H45,""),EXACT(I45,""),EXACT(J45,"")),"",IF(NOT(EXACT(J45,"")),IF(NOT(EXACT(K45,"")),K45*$J$39,""),IF(NOT(EXACT(I45,"")),IF(NOT(EXACT(K45,"")),K45*$I$39,""),IF(NOT(EXACT(H45,"")),IF(NOT(EXACT(K45,"")),K45*$H$39,"")))))</f>
      </c>
      <c r="M45" s="560"/>
      <c r="N45" s="560"/>
      <c r="O45" s="560"/>
      <c r="P45" s="560"/>
      <c r="Q45" s="48"/>
    </row>
    <row r="46" spans="1:17" ht="12">
      <c r="A46" s="168"/>
      <c r="B46" s="148"/>
      <c r="C46" s="148"/>
      <c r="D46" s="169"/>
      <c r="E46" s="148"/>
      <c r="F46" s="169"/>
      <c r="G46" s="48"/>
      <c r="H46" s="540" t="s">
        <v>296</v>
      </c>
      <c r="I46" s="540"/>
      <c r="J46" s="540"/>
      <c r="K46" s="171">
        <f>SUM(K42:K45)</f>
        <v>0.18</v>
      </c>
      <c r="L46" s="225">
        <f>IF(AND(OR(NOT(EXACT(H42,"")),NOT(EXACT(I42,"")),NOT(EXACT(J42,""))),OR(NOT(EXACT(H43,"")),NOT(EXACT(I43,"")),NOT(EXACT(J43,"")))),SUM(L42:L45),"")</f>
      </c>
      <c r="M46" s="560"/>
      <c r="N46" s="560"/>
      <c r="O46" s="560"/>
      <c r="P46" s="560"/>
      <c r="Q46" s="48"/>
    </row>
    <row r="47" spans="1:17" ht="12">
      <c r="A47" s="57"/>
      <c r="B47" s="148"/>
      <c r="C47" s="148"/>
      <c r="D47" s="148"/>
      <c r="E47" s="148"/>
      <c r="F47" s="148"/>
      <c r="G47" s="46"/>
      <c r="H47" s="226"/>
      <c r="I47" s="226"/>
      <c r="J47" s="226"/>
      <c r="K47" s="227"/>
      <c r="L47" s="228"/>
      <c r="M47" s="560"/>
      <c r="N47" s="560"/>
      <c r="O47" s="560"/>
      <c r="P47" s="560"/>
      <c r="Q47" s="46"/>
    </row>
    <row r="48" spans="1:17" ht="12">
      <c r="A48" s="221"/>
      <c r="B48" s="222"/>
      <c r="C48" s="222"/>
      <c r="D48" s="222"/>
      <c r="E48" s="222"/>
      <c r="F48" s="222"/>
      <c r="G48" s="223"/>
      <c r="H48" s="151">
        <v>0</v>
      </c>
      <c r="I48" s="152">
        <v>0.25</v>
      </c>
      <c r="J48" s="151">
        <v>1</v>
      </c>
      <c r="K48" s="223"/>
      <c r="L48" s="67"/>
      <c r="M48" s="560"/>
      <c r="N48" s="560"/>
      <c r="O48" s="560"/>
      <c r="P48" s="560"/>
      <c r="Q48" s="46"/>
    </row>
    <row r="49" spans="1:17" ht="33.75" customHeight="1">
      <c r="A49" s="57"/>
      <c r="B49" s="148"/>
      <c r="C49" s="148"/>
      <c r="D49" s="148"/>
      <c r="E49" s="148"/>
      <c r="F49" s="148"/>
      <c r="G49" s="161"/>
      <c r="H49" s="229" t="s">
        <v>323</v>
      </c>
      <c r="I49" s="229" t="s">
        <v>324</v>
      </c>
      <c r="J49" s="229" t="s">
        <v>325</v>
      </c>
      <c r="K49" s="162" t="s">
        <v>304</v>
      </c>
      <c r="L49" s="163" t="s">
        <v>305</v>
      </c>
      <c r="M49" s="156" t="s">
        <v>302</v>
      </c>
      <c r="N49" s="46"/>
      <c r="O49" s="46"/>
      <c r="P49" s="65"/>
      <c r="Q49" s="46"/>
    </row>
    <row r="50" spans="1:17" ht="12.75" customHeight="1">
      <c r="A50" s="539" t="s">
        <v>326</v>
      </c>
      <c r="B50" s="539"/>
      <c r="C50" s="539"/>
      <c r="D50" s="539"/>
      <c r="E50" s="539"/>
      <c r="F50" s="539"/>
      <c r="G50" s="539"/>
      <c r="H50" s="208"/>
      <c r="I50" s="208"/>
      <c r="J50" s="208"/>
      <c r="K50" s="224">
        <v>0.04</v>
      </c>
      <c r="L50" s="209">
        <f>IF(AND(EXACT(H50,""),EXACT(I50,""),EXACT(J50,"")),"",IF(NOT(EXACT(J50,"")),IF(NOT(EXACT(K50,"")),K50*$J$39,""),IF(NOT(EXACT(I50,"")),IF(NOT(EXACT(K50,"")),K50*$I$39,""),IF(NOT(EXACT(H50,"")),IF(NOT(EXACT(K50,"")),K50*$H$39,"")))))</f>
      </c>
      <c r="M50" s="549" t="s">
        <v>327</v>
      </c>
      <c r="N50" s="549"/>
      <c r="O50" s="549"/>
      <c r="P50" s="549"/>
      <c r="Q50" s="46"/>
    </row>
    <row r="51" spans="1:17" ht="12">
      <c r="A51" s="539" t="s">
        <v>328</v>
      </c>
      <c r="B51" s="539"/>
      <c r="C51" s="539"/>
      <c r="D51" s="539"/>
      <c r="E51" s="539"/>
      <c r="F51" s="539"/>
      <c r="G51" s="539"/>
      <c r="H51" s="208"/>
      <c r="I51" s="208"/>
      <c r="J51" s="208"/>
      <c r="K51" s="224">
        <v>0.03</v>
      </c>
      <c r="L51" s="209">
        <f>IF(AND(EXACT(H51,""),EXACT(I51,""),EXACT(J51,"")),"",IF(NOT(EXACT(J51,"")),IF(NOT(EXACT(K51,"")),K51*$J$39,""),IF(NOT(EXACT(I51,"")),IF(NOT(EXACT(K51,"")),K51*$I$39,""),IF(NOT(EXACT(H51,"")),IF(NOT(EXACT(K51,"")),K51*$H$39,"")))))</f>
      </c>
      <c r="M51" s="549"/>
      <c r="N51" s="549"/>
      <c r="O51" s="549"/>
      <c r="P51" s="549"/>
      <c r="Q51" s="46"/>
    </row>
    <row r="52" spans="1:17" ht="12">
      <c r="A52" s="221"/>
      <c r="B52" s="148"/>
      <c r="C52" s="148"/>
      <c r="D52" s="148"/>
      <c r="E52" s="148"/>
      <c r="F52" s="148"/>
      <c r="G52" s="65"/>
      <c r="H52" s="540" t="s">
        <v>296</v>
      </c>
      <c r="I52" s="540"/>
      <c r="J52" s="540"/>
      <c r="K52" s="171">
        <f>SUM(K48:K51)</f>
        <v>0.07</v>
      </c>
      <c r="L52" s="230">
        <f>IF(AND(OR(NOT(EXACT(H48,"")),NOT(EXACT(I48,"")),NOT(EXACT(J48,""))),OR(NOT(EXACT(H49,"")),NOT(EXACT(I49,"")),NOT(EXACT(J49,"")))),SUM(L48:L51),"")</f>
        <v>0</v>
      </c>
      <c r="M52" s="549"/>
      <c r="N52" s="549"/>
      <c r="O52" s="549"/>
      <c r="P52" s="549"/>
      <c r="Q52" s="46"/>
    </row>
    <row r="53" spans="1:16" ht="13.5" customHeight="1">
      <c r="A53" s="173"/>
      <c r="B53" s="174"/>
      <c r="C53" s="174"/>
      <c r="D53" s="174"/>
      <c r="E53" s="174"/>
      <c r="F53" s="174"/>
      <c r="G53" s="175"/>
      <c r="H53" s="175"/>
      <c r="I53" s="175"/>
      <c r="J53" s="175"/>
      <c r="K53" s="175"/>
      <c r="L53" s="175"/>
      <c r="M53" s="219"/>
      <c r="N53" s="175"/>
      <c r="O53" s="175"/>
      <c r="P53" s="68"/>
    </row>
    <row r="54" spans="1:16" ht="15.75" customHeight="1">
      <c r="A54" s="54" t="s">
        <v>293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77" t="s">
        <v>296</v>
      </c>
      <c r="N54" s="55">
        <f>IF(AND(NOT(EXACT(L64,"")),NOT(EXACT(L69,"")),NOT(EXACT(L74,""))),(L64+L69+L74)*100,IF(AND(EXACT(L64,""),NOT(EXACT(L74,""))),L74*100,IF(AND(NOT(EXACT(L64,"")),EXACT(L74,"")),L64*100,0)))</f>
        <v>0</v>
      </c>
      <c r="O54" s="55" t="s">
        <v>297</v>
      </c>
      <c r="P54" s="146">
        <f>(K64+K69+K74)*100</f>
        <v>17</v>
      </c>
    </row>
    <row r="55" spans="1:16" ht="13.5" customHeight="1">
      <c r="A55" s="57"/>
      <c r="B55" s="148"/>
      <c r="C55" s="148"/>
      <c r="D55" s="148"/>
      <c r="E55" s="148"/>
      <c r="F55" s="148"/>
      <c r="G55" s="46"/>
      <c r="H55" s="46"/>
      <c r="I55" s="46"/>
      <c r="J55" s="46"/>
      <c r="K55" s="46"/>
      <c r="L55" s="46"/>
      <c r="M55" s="183" t="s">
        <v>298</v>
      </c>
      <c r="N55" s="150"/>
      <c r="O55" s="150"/>
      <c r="P55" s="65"/>
    </row>
    <row r="56" spans="1:16" ht="13.5" customHeight="1">
      <c r="A56" s="221"/>
      <c r="B56" s="222"/>
      <c r="C56" s="222"/>
      <c r="D56" s="222"/>
      <c r="E56" s="222"/>
      <c r="F56" s="222"/>
      <c r="G56" s="223"/>
      <c r="H56" s="151">
        <v>0</v>
      </c>
      <c r="I56" s="152">
        <v>0.5</v>
      </c>
      <c r="J56" s="151">
        <v>1</v>
      </c>
      <c r="K56" s="223"/>
      <c r="L56" s="67"/>
      <c r="M56" s="201"/>
      <c r="N56" s="202"/>
      <c r="O56" s="202"/>
      <c r="P56" s="199" t="s">
        <v>329</v>
      </c>
    </row>
    <row r="57" spans="1:16" ht="13.5" customHeight="1">
      <c r="A57" s="57"/>
      <c r="B57" s="148"/>
      <c r="C57" s="148"/>
      <c r="D57" s="231" t="s">
        <v>330</v>
      </c>
      <c r="E57" s="148"/>
      <c r="F57" s="559" t="s">
        <v>331</v>
      </c>
      <c r="G57" s="46"/>
      <c r="H57" s="544" t="s">
        <v>332</v>
      </c>
      <c r="I57" s="544" t="s">
        <v>324</v>
      </c>
      <c r="J57" s="544" t="s">
        <v>333</v>
      </c>
      <c r="K57" s="46"/>
      <c r="L57" s="46"/>
      <c r="M57" s="201"/>
      <c r="N57" s="202"/>
      <c r="O57" s="202"/>
      <c r="P57" s="199"/>
    </row>
    <row r="58" spans="1:16" ht="13.5" customHeight="1">
      <c r="A58" s="57"/>
      <c r="B58" s="148"/>
      <c r="C58" s="148"/>
      <c r="D58" s="232" t="s">
        <v>334</v>
      </c>
      <c r="E58" s="148"/>
      <c r="F58" s="559"/>
      <c r="G58" s="161"/>
      <c r="H58" s="544"/>
      <c r="I58" s="544"/>
      <c r="J58" s="544"/>
      <c r="K58" s="162" t="s">
        <v>304</v>
      </c>
      <c r="L58" s="203" t="s">
        <v>305</v>
      </c>
      <c r="M58" s="192"/>
      <c r="N58" s="46"/>
      <c r="O58" s="46"/>
      <c r="P58" s="65"/>
    </row>
    <row r="59" spans="1:16" ht="13.5" customHeight="1">
      <c r="A59" s="539" t="s">
        <v>335</v>
      </c>
      <c r="B59" s="539"/>
      <c r="C59" s="539"/>
      <c r="D59" s="189">
        <v>0</v>
      </c>
      <c r="E59" s="233"/>
      <c r="F59" s="234" t="s">
        <v>336</v>
      </c>
      <c r="G59" s="235"/>
      <c r="H59" s="236" t="str">
        <f>IF(EXACT($D59,"0"),"x","")</f>
        <v>x</v>
      </c>
      <c r="I59" s="236">
        <f>IF(AND(NOT(EXACT(D59,"")),D59&lt;20,D59&lt;&gt;0),"x","")</f>
      </c>
      <c r="J59" s="236">
        <f>IF(AND(NOT(EXACT(D59,"")),D59&lt;20),"","x")</f>
      </c>
      <c r="K59" s="224">
        <f>$K$64/5</f>
        <v>0.01</v>
      </c>
      <c r="L59" s="237">
        <f>IF(AND(EXACT(H59,""),EXACT(I59,""),EXACT(J59,"")),"",IF(NOT(EXACT(J59,"")),IF(NOT(EXACT(K59,"")),K59*$J$56,""),IF(NOT(EXACT(I59,"")),IF(NOT(EXACT(K59,"")),K59*$I$56,""),IF(NOT(EXACT(H59,"")),IF(NOT(EXACT(K59,"")),K59*$H$56,"")))))</f>
        <v>0</v>
      </c>
      <c r="M59" s="558"/>
      <c r="N59" s="558"/>
      <c r="O59" s="558"/>
      <c r="P59" s="558"/>
    </row>
    <row r="60" spans="1:16" ht="13.5" customHeight="1">
      <c r="A60" s="539" t="s">
        <v>337</v>
      </c>
      <c r="B60" s="539"/>
      <c r="C60" s="539"/>
      <c r="D60" s="189">
        <v>0</v>
      </c>
      <c r="E60" s="233"/>
      <c r="F60" s="234" t="s">
        <v>338</v>
      </c>
      <c r="G60" s="235"/>
      <c r="H60" s="236" t="str">
        <f>IF(EXACT($D60,"0"),"x","")</f>
        <v>x</v>
      </c>
      <c r="I60" s="236">
        <f>IF(AND(NOT(EXACT(D60,"")),OR(D60&lt;10,D60&gt;35),D60&lt;&gt;0),"x","")</f>
      </c>
      <c r="J60" s="236">
        <f>IF(AND(NOT(EXACT(D60,"")),OR(D60&lt;10,D60&gt;35)),"","x")</f>
      </c>
      <c r="K60" s="224">
        <f>$K$64/5</f>
        <v>0.01</v>
      </c>
      <c r="L60" s="237">
        <f>IF(AND(EXACT(H60,""),EXACT(I60,""),EXACT(J60,"")),"",IF(NOT(EXACT(J60,"")),IF(NOT(EXACT(K60,"")),K60*$J$56,""),IF(NOT(EXACT(I60,"")),IF(NOT(EXACT(K60,"")),K60*$I$56,""),IF(NOT(EXACT(H60,"")),IF(NOT(EXACT(K60,"")),K60*$H$56,"")))))</f>
        <v>0</v>
      </c>
      <c r="M60" s="558"/>
      <c r="N60" s="558"/>
      <c r="O60" s="558"/>
      <c r="P60" s="558"/>
    </row>
    <row r="61" spans="1:16" ht="13.5" customHeight="1">
      <c r="A61" s="539" t="s">
        <v>339</v>
      </c>
      <c r="B61" s="539"/>
      <c r="C61" s="539"/>
      <c r="D61" s="189">
        <v>0</v>
      </c>
      <c r="E61" s="233"/>
      <c r="F61" s="234" t="s">
        <v>340</v>
      </c>
      <c r="G61" s="235"/>
      <c r="H61" s="236" t="str">
        <f>IF(EXACT($D61,"0"),"x","")</f>
        <v>x</v>
      </c>
      <c r="I61" s="236">
        <f>IF(AND(NOT(EXACT(D61,"")),OR(D61&lt;10,D61&gt;40),D61&lt;&gt;0),"x","")</f>
      </c>
      <c r="J61" s="236">
        <f>IF(AND(NOT(EXACT(D61,"")),OR(D61&lt;10,D61&gt;40)),"","x")</f>
      </c>
      <c r="K61" s="224">
        <f>$K$64/5</f>
        <v>0.01</v>
      </c>
      <c r="L61" s="237">
        <f>IF(AND(EXACT(H61,""),EXACT(I61,""),EXACT(J61,"")),"",IF(NOT(EXACT(J61,"")),IF(NOT(EXACT(K61,"")),K61*$J$56,""),IF(NOT(EXACT(I61,"")),IF(NOT(EXACT(K61,"")),K61*$I$56,""),IF(NOT(EXACT(H61,"")),IF(NOT(EXACT(K61,"")),K61*$H$56,"")))))</f>
        <v>0</v>
      </c>
      <c r="M61" s="558"/>
      <c r="N61" s="558"/>
      <c r="O61" s="558"/>
      <c r="P61" s="558"/>
    </row>
    <row r="62" spans="1:16" ht="13.5" customHeight="1">
      <c r="A62" s="539" t="s">
        <v>341</v>
      </c>
      <c r="B62" s="539"/>
      <c r="C62" s="539"/>
      <c r="D62" s="189">
        <v>0</v>
      </c>
      <c r="E62" s="233"/>
      <c r="F62" s="234" t="s">
        <v>342</v>
      </c>
      <c r="G62" s="235"/>
      <c r="H62" s="236" t="str">
        <f>IF(EXACT($D62,"0"),"x","")</f>
        <v>x</v>
      </c>
      <c r="I62" s="236">
        <f>IF(AND(NOT(EXACT(D62,"")),OR(D62&lt;2,D62&gt;6),D62&lt;&gt;0),"x","")</f>
      </c>
      <c r="J62" s="236">
        <f>IF(AND(NOT(EXACT(D62,"")),OR(D62&lt;2,D62&gt;6)),"","x")</f>
      </c>
      <c r="K62" s="224">
        <f>$K$64/5</f>
        <v>0.01</v>
      </c>
      <c r="L62" s="237">
        <f>IF(AND(EXACT(H62,""),EXACT(I62,""),EXACT(J62,"")),"",IF(NOT(EXACT(J62,"")),IF(NOT(EXACT(K62,"")),K62*$J$56,""),IF(NOT(EXACT(I62,"")),IF(NOT(EXACT(K62,"")),K62*$I$56,""),IF(NOT(EXACT(H62,"")),IF(NOT(EXACT(K62,"")),K62*$H$56,"")))))</f>
        <v>0</v>
      </c>
      <c r="M62" s="558"/>
      <c r="N62" s="558"/>
      <c r="O62" s="558"/>
      <c r="P62" s="558"/>
    </row>
    <row r="63" spans="1:16" ht="13.5" customHeight="1">
      <c r="A63" s="539" t="s">
        <v>343</v>
      </c>
      <c r="B63" s="539"/>
      <c r="C63" s="539"/>
      <c r="D63" s="189">
        <v>0</v>
      </c>
      <c r="E63" s="233"/>
      <c r="F63" s="234" t="s">
        <v>344</v>
      </c>
      <c r="G63" s="235"/>
      <c r="H63" s="236" t="str">
        <f>IF(EXACT($D63,"0"),"x","")</f>
        <v>x</v>
      </c>
      <c r="I63" s="236">
        <f>IF(AND(NOT(EXACT(D63,"")),D63&lt;=40,D63&lt;&gt;0),"x","")</f>
      </c>
      <c r="J63" s="236">
        <f>IF(AND(NOT(EXACT(D63,"")),D63&lt;=40),"","x")</f>
      </c>
      <c r="K63" s="224">
        <f>$K$64/5</f>
        <v>0.01</v>
      </c>
      <c r="L63" s="237">
        <f>IF(AND(EXACT(H63,""),EXACT(I63,""),EXACT(J63,"")),"",IF(NOT(EXACT(J63,"")),IF(NOT(EXACT(K63,"")),K63*$J$56,""),IF(NOT(EXACT(I63,"")),IF(NOT(EXACT(K63,"")),K63*$I$56,""),IF(NOT(EXACT(H63,"")),IF(NOT(EXACT(K63,"")),K63*$H$56,"")))))</f>
        <v>0</v>
      </c>
      <c r="M63" s="558"/>
      <c r="N63" s="558"/>
      <c r="O63" s="558"/>
      <c r="P63" s="558"/>
    </row>
    <row r="64" spans="1:17" ht="13.5" customHeight="1">
      <c r="A64" s="57"/>
      <c r="B64" s="148"/>
      <c r="C64" s="148"/>
      <c r="D64" s="148"/>
      <c r="E64" s="148"/>
      <c r="F64" s="148"/>
      <c r="G64" s="65"/>
      <c r="H64" s="540" t="s">
        <v>296</v>
      </c>
      <c r="I64" s="540"/>
      <c r="J64" s="540"/>
      <c r="K64" s="171">
        <v>0.05</v>
      </c>
      <c r="L64" s="225">
        <f>SUM(L59:L63)</f>
        <v>0</v>
      </c>
      <c r="M64" s="192"/>
      <c r="N64" s="46"/>
      <c r="O64" s="46"/>
      <c r="P64" s="65"/>
      <c r="Q64" s="46"/>
    </row>
    <row r="65" spans="1:17" ht="13.5" customHeight="1">
      <c r="A65" s="192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192"/>
      <c r="N65" s="46"/>
      <c r="O65" s="46"/>
      <c r="P65" s="65"/>
      <c r="Q65" s="46"/>
    </row>
    <row r="66" spans="1:17" ht="12">
      <c r="A66" s="221"/>
      <c r="B66" s="222"/>
      <c r="C66" s="222"/>
      <c r="D66" s="222"/>
      <c r="E66" s="222"/>
      <c r="F66" s="222"/>
      <c r="G66" s="223"/>
      <c r="H66" s="151">
        <v>0</v>
      </c>
      <c r="I66" s="152">
        <v>0.5</v>
      </c>
      <c r="J66" s="151">
        <v>1</v>
      </c>
      <c r="K66" s="223"/>
      <c r="L66" s="67"/>
      <c r="M66" s="192"/>
      <c r="N66" s="46"/>
      <c r="O66" s="46"/>
      <c r="P66" s="65"/>
      <c r="Q66" s="46"/>
    </row>
    <row r="67" spans="1:17" ht="30" customHeight="1">
      <c r="A67" s="57"/>
      <c r="B67" s="148"/>
      <c r="C67" s="148"/>
      <c r="D67" s="148"/>
      <c r="E67" s="148"/>
      <c r="F67" s="148"/>
      <c r="G67" s="161"/>
      <c r="H67" s="229" t="s">
        <v>299</v>
      </c>
      <c r="I67" s="229" t="s">
        <v>345</v>
      </c>
      <c r="J67" s="229" t="s">
        <v>301</v>
      </c>
      <c r="K67" s="162" t="s">
        <v>304</v>
      </c>
      <c r="L67" s="163" t="s">
        <v>305</v>
      </c>
      <c r="M67" s="155"/>
      <c r="N67" s="156"/>
      <c r="O67" s="156"/>
      <c r="P67" s="65"/>
      <c r="Q67" s="46"/>
    </row>
    <row r="68" spans="1:17" ht="12">
      <c r="A68" s="539" t="s">
        <v>346</v>
      </c>
      <c r="B68" s="539"/>
      <c r="C68" s="539"/>
      <c r="D68" s="539"/>
      <c r="E68" s="539"/>
      <c r="F68" s="539"/>
      <c r="G68" s="539"/>
      <c r="H68" s="164"/>
      <c r="I68" s="165"/>
      <c r="J68" s="166"/>
      <c r="K68" s="167"/>
      <c r="L68" s="167"/>
      <c r="M68" s="238"/>
      <c r="N68" s="239"/>
      <c r="O68" s="239"/>
      <c r="P68" s="65"/>
      <c r="Q68" s="46"/>
    </row>
    <row r="69" spans="1:17" ht="12">
      <c r="A69" s="57"/>
      <c r="B69" s="148"/>
      <c r="C69" s="148"/>
      <c r="D69" s="148"/>
      <c r="E69" s="148"/>
      <c r="F69" s="148"/>
      <c r="G69" s="65"/>
      <c r="H69" s="540" t="s">
        <v>296</v>
      </c>
      <c r="I69" s="540"/>
      <c r="J69" s="540"/>
      <c r="K69" s="171">
        <v>0.08</v>
      </c>
      <c r="L69" s="230">
        <f>IF(AND(EXACT(H68,""),EXACT(I68,""),EXACT(J68,"")),"",IF(NOT(EXACT(J68,"")),IF(NOT(EXACT(K69,"")),K69*J66,""),IF(NOT(EXACT(I68,"")),IF(NOT(EXACT(K69,"")),K69*I66,""),IF(NOT(EXACT(H68,"")),IF(NOT(EXACT(K69,"")),K69*H66,"")))))</f>
      </c>
      <c r="M69" s="238"/>
      <c r="N69" s="239"/>
      <c r="O69" s="239"/>
      <c r="P69" s="65"/>
      <c r="Q69" s="46"/>
    </row>
    <row r="70" spans="1:17" ht="12">
      <c r="A70" s="219"/>
      <c r="B70" s="240"/>
      <c r="C70" s="240"/>
      <c r="D70" s="240"/>
      <c r="E70" s="240"/>
      <c r="F70" s="240"/>
      <c r="G70" s="240"/>
      <c r="H70" s="159"/>
      <c r="I70" s="159"/>
      <c r="J70" s="159"/>
      <c r="K70" s="241"/>
      <c r="L70" s="241"/>
      <c r="M70" s="219"/>
      <c r="N70" s="175"/>
      <c r="O70" s="175"/>
      <c r="P70" s="68"/>
      <c r="Q70" s="46"/>
    </row>
    <row r="71" spans="1:17" ht="12">
      <c r="A71" s="221"/>
      <c r="B71" s="222"/>
      <c r="C71" s="222"/>
      <c r="D71" s="222"/>
      <c r="E71" s="222"/>
      <c r="F71" s="222"/>
      <c r="G71" s="223"/>
      <c r="H71" s="151">
        <v>0.25</v>
      </c>
      <c r="I71" s="152">
        <v>0.5</v>
      </c>
      <c r="J71" s="151">
        <v>1</v>
      </c>
      <c r="K71" s="223"/>
      <c r="L71" s="67"/>
      <c r="M71" s="192"/>
      <c r="N71" s="46"/>
      <c r="O71" s="46"/>
      <c r="P71" s="65"/>
      <c r="Q71" s="46"/>
    </row>
    <row r="72" spans="1:17" ht="33.75" customHeight="1">
      <c r="A72" s="57"/>
      <c r="B72" s="148"/>
      <c r="C72" s="148"/>
      <c r="D72" s="148"/>
      <c r="E72" s="148"/>
      <c r="F72" s="148"/>
      <c r="G72" s="161"/>
      <c r="H72" s="229" t="s">
        <v>347</v>
      </c>
      <c r="I72" s="229" t="s">
        <v>348</v>
      </c>
      <c r="J72" s="229" t="s">
        <v>349</v>
      </c>
      <c r="K72" s="162" t="s">
        <v>304</v>
      </c>
      <c r="L72" s="163" t="s">
        <v>305</v>
      </c>
      <c r="M72" s="46"/>
      <c r="N72" s="46"/>
      <c r="O72" s="46"/>
      <c r="P72" s="65"/>
      <c r="Q72" s="46"/>
    </row>
    <row r="73" spans="1:17" ht="12">
      <c r="A73" s="539" t="s">
        <v>350</v>
      </c>
      <c r="B73" s="539"/>
      <c r="C73" s="539"/>
      <c r="D73" s="539"/>
      <c r="E73" s="539"/>
      <c r="F73" s="539"/>
      <c r="G73" s="539"/>
      <c r="H73" s="208"/>
      <c r="I73" s="166"/>
      <c r="J73" s="166"/>
      <c r="K73" s="167"/>
      <c r="L73" s="167"/>
      <c r="M73" s="46"/>
      <c r="N73" s="46"/>
      <c r="O73" s="46"/>
      <c r="P73" s="65"/>
      <c r="Q73" s="46"/>
    </row>
    <row r="74" spans="1:17" ht="12">
      <c r="A74" s="57"/>
      <c r="B74" s="148"/>
      <c r="C74" s="148"/>
      <c r="D74" s="148"/>
      <c r="E74" s="148"/>
      <c r="F74" s="148"/>
      <c r="G74" s="65"/>
      <c r="H74" s="540" t="s">
        <v>296</v>
      </c>
      <c r="I74" s="540"/>
      <c r="J74" s="540"/>
      <c r="K74" s="171">
        <v>0.04</v>
      </c>
      <c r="L74" s="230">
        <f>IF(AND(EXACT(H73,""),EXACT(I73,""),EXACT(J73,"")),"",IF(NOT(EXACT(J73,"")),IF(NOT(EXACT(K74,"")),K74*J71,""),IF(NOT(EXACT(I73,"")),IF(NOT(EXACT(K74,"")),K74*I71,""),IF(NOT(EXACT(H73,"")),IF(NOT(EXACT(K74,"")),K74*H71,"")))))</f>
      </c>
      <c r="M74" s="46"/>
      <c r="N74" s="46"/>
      <c r="O74" s="46"/>
      <c r="P74" s="65"/>
      <c r="Q74" s="46"/>
    </row>
    <row r="75" spans="1:17" ht="12">
      <c r="A75" s="219"/>
      <c r="B75" s="240"/>
      <c r="C75" s="240"/>
      <c r="D75" s="240"/>
      <c r="E75" s="240"/>
      <c r="F75" s="240"/>
      <c r="G75" s="240"/>
      <c r="H75" s="159"/>
      <c r="I75" s="159"/>
      <c r="J75" s="159"/>
      <c r="K75" s="241"/>
      <c r="L75" s="241"/>
      <c r="M75" s="219"/>
      <c r="N75" s="175"/>
      <c r="O75" s="175"/>
      <c r="P75" s="68"/>
      <c r="Q75" s="46"/>
    </row>
    <row r="76" spans="1:6" ht="13.5" customHeight="1">
      <c r="A76" s="66"/>
      <c r="B76" s="66"/>
      <c r="C76" s="66"/>
      <c r="D76" s="66"/>
      <c r="E76" s="66"/>
      <c r="F76" s="66"/>
    </row>
    <row r="77" spans="1:17" ht="15">
      <c r="A77" s="54" t="s">
        <v>294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 t="s">
        <v>296</v>
      </c>
      <c r="N77" s="145">
        <f>IF(AND(NOT(EXACT(L85,"")),NOT(EXACT(L90,"")),NOT(EXACT(L95,""))),(L85+L90+L95)*100,0)</f>
        <v>0</v>
      </c>
      <c r="O77" s="55" t="s">
        <v>297</v>
      </c>
      <c r="P77" s="146">
        <f>(K85+K90+K95)*100</f>
        <v>28.000000000000004</v>
      </c>
      <c r="Q77" s="180"/>
    </row>
    <row r="78" spans="1:17" ht="13.5" customHeight="1">
      <c r="A78" s="57"/>
      <c r="B78" s="148"/>
      <c r="C78" s="148"/>
      <c r="D78" s="148"/>
      <c r="E78" s="148"/>
      <c r="F78" s="148"/>
      <c r="G78" s="46"/>
      <c r="H78" s="46"/>
      <c r="I78" s="46"/>
      <c r="J78" s="46"/>
      <c r="K78" s="46"/>
      <c r="L78" s="46"/>
      <c r="M78" s="149" t="s">
        <v>298</v>
      </c>
      <c r="N78" s="150"/>
      <c r="O78" s="150"/>
      <c r="P78" s="65"/>
      <c r="Q78" s="46"/>
    </row>
    <row r="79" spans="1:17" ht="12">
      <c r="A79" s="221"/>
      <c r="B79" s="222"/>
      <c r="C79" s="222"/>
      <c r="D79" s="222"/>
      <c r="E79" s="222"/>
      <c r="F79" s="222"/>
      <c r="G79" s="223"/>
      <c r="H79" s="151">
        <v>0</v>
      </c>
      <c r="I79" s="152">
        <v>0.5</v>
      </c>
      <c r="J79" s="152">
        <v>1</v>
      </c>
      <c r="K79" s="223"/>
      <c r="L79" s="67"/>
      <c r="M79" s="201"/>
      <c r="N79" s="202"/>
      <c r="O79" s="202"/>
      <c r="P79" s="65"/>
      <c r="Q79" s="46"/>
    </row>
    <row r="80" spans="1:17" ht="13.5" customHeight="1">
      <c r="A80" s="57"/>
      <c r="B80" s="148"/>
      <c r="C80" s="148"/>
      <c r="D80" s="153"/>
      <c r="E80" s="148"/>
      <c r="F80" s="543"/>
      <c r="G80" s="46"/>
      <c r="H80" s="544" t="s">
        <v>351</v>
      </c>
      <c r="I80" s="544" t="s">
        <v>352</v>
      </c>
      <c r="J80" s="544" t="s">
        <v>353</v>
      </c>
      <c r="K80" s="46"/>
      <c r="L80" s="46"/>
      <c r="M80" s="155"/>
      <c r="N80" s="156"/>
      <c r="O80" s="156"/>
      <c r="P80" s="65"/>
      <c r="Q80" s="46"/>
    </row>
    <row r="81" spans="1:17" ht="17.25" customHeight="1">
      <c r="A81" s="157" t="s">
        <v>354</v>
      </c>
      <c r="B81" s="148"/>
      <c r="C81" s="148"/>
      <c r="D81" s="158"/>
      <c r="E81" s="159"/>
      <c r="F81" s="543"/>
      <c r="G81" s="161"/>
      <c r="H81" s="544"/>
      <c r="I81" s="544"/>
      <c r="J81" s="544"/>
      <c r="K81" s="162" t="s">
        <v>304</v>
      </c>
      <c r="L81" s="203" t="s">
        <v>305</v>
      </c>
      <c r="M81" s="155" t="s">
        <v>355</v>
      </c>
      <c r="N81" s="156"/>
      <c r="O81" s="156"/>
      <c r="P81" s="65"/>
      <c r="Q81" s="46"/>
    </row>
    <row r="82" spans="1:17" ht="12.75" customHeight="1">
      <c r="A82" s="539" t="s">
        <v>356</v>
      </c>
      <c r="B82" s="539"/>
      <c r="C82" s="539"/>
      <c r="D82" s="539"/>
      <c r="E82" s="539"/>
      <c r="F82" s="539"/>
      <c r="G82" s="539"/>
      <c r="H82" s="208"/>
      <c r="I82" s="208"/>
      <c r="J82" s="208"/>
      <c r="K82" s="224">
        <v>0.05</v>
      </c>
      <c r="L82" s="210">
        <f>IF(AND(EXACT(H82,""),EXACT(I82,""),EXACT(J82,"")),"",IF(NOT(EXACT(J82,"")),IF(NOT(EXACT(K82,"")),K82*$J$79,""),IF(NOT(EXACT(I82,"")),IF(NOT(EXACT(K82,"")),K82*$I$79,""),IF(NOT(EXACT(H82,"")),IF(NOT(EXACT(K82,"")),K82*$H$79,"")))))</f>
      </c>
      <c r="M82" s="557" t="s">
        <v>357</v>
      </c>
      <c r="N82" s="557"/>
      <c r="O82" s="557"/>
      <c r="P82" s="557"/>
      <c r="Q82" s="46"/>
    </row>
    <row r="83" spans="1:17" ht="12">
      <c r="A83" s="539" t="s">
        <v>358</v>
      </c>
      <c r="B83" s="539"/>
      <c r="C83" s="539"/>
      <c r="D83" s="539"/>
      <c r="E83" s="539"/>
      <c r="F83" s="539"/>
      <c r="G83" s="539"/>
      <c r="H83" s="208"/>
      <c r="I83" s="208"/>
      <c r="J83" s="208"/>
      <c r="K83" s="224">
        <v>0.02</v>
      </c>
      <c r="L83" s="210">
        <f>IF(AND(EXACT(H83,""),EXACT(I83,""),EXACT(J83,"")),"",IF(NOT(EXACT(J83,"")),IF(NOT(EXACT(K83,"")),K83*$J$79,""),IF(NOT(EXACT(I83,"")),IF(NOT(EXACT(K83,"")),K83*$I$79,""),IF(NOT(EXACT(H83,"")),IF(NOT(EXACT(K83,"")),K83*$H$79,"")))))</f>
      </c>
      <c r="M83" s="557"/>
      <c r="N83" s="557"/>
      <c r="O83" s="557"/>
      <c r="P83" s="557"/>
      <c r="Q83" s="48"/>
    </row>
    <row r="84" spans="1:17" ht="12">
      <c r="A84" s="539" t="s">
        <v>359</v>
      </c>
      <c r="B84" s="539"/>
      <c r="C84" s="539"/>
      <c r="D84" s="539"/>
      <c r="E84" s="539"/>
      <c r="F84" s="539"/>
      <c r="G84" s="539"/>
      <c r="H84" s="208"/>
      <c r="I84" s="208"/>
      <c r="J84" s="208"/>
      <c r="K84" s="224">
        <v>0.03</v>
      </c>
      <c r="L84" s="210">
        <f>IF(AND(EXACT(H84,""),EXACT(I84,""),EXACT(J84,"")),"",IF(NOT(EXACT(J84,"")),IF(NOT(EXACT(K84,"")),K84*$J$79,""),IF(NOT(EXACT(I84,"")),IF(NOT(EXACT(K84,"")),K84*$I$79,""),IF(NOT(EXACT(H84,"")),IF(NOT(EXACT(K84,"")),K84*$H$79,"")))))</f>
      </c>
      <c r="M84" s="557"/>
      <c r="N84" s="557"/>
      <c r="O84" s="557"/>
      <c r="P84" s="557"/>
      <c r="Q84" s="48"/>
    </row>
    <row r="85" spans="1:17" ht="12">
      <c r="A85" s="168"/>
      <c r="B85" s="148"/>
      <c r="C85" s="148"/>
      <c r="D85" s="169"/>
      <c r="E85" s="148"/>
      <c r="F85" s="169"/>
      <c r="G85" s="48"/>
      <c r="H85" s="540" t="s">
        <v>296</v>
      </c>
      <c r="I85" s="540"/>
      <c r="J85" s="540"/>
      <c r="K85" s="171">
        <f>SUM(K82:K84)</f>
        <v>0.1</v>
      </c>
      <c r="L85" s="225">
        <f>IF(AND(OR(NOT(EXACT(H82,"")),NOT(EXACT(I82,"")),NOT(EXACT(J82,""))),OR(NOT(EXACT(H83,"")),NOT(EXACT(I83,"")),NOT(EXACT(J83,"")))),SUM(L82:L84),"")</f>
      </c>
      <c r="M85" s="557"/>
      <c r="N85" s="557"/>
      <c r="O85" s="557"/>
      <c r="P85" s="557"/>
      <c r="Q85" s="48"/>
    </row>
    <row r="86" spans="1:17" ht="12">
      <c r="A86" s="192"/>
      <c r="B86" s="161"/>
      <c r="C86" s="161"/>
      <c r="D86" s="161"/>
      <c r="E86" s="161"/>
      <c r="F86" s="161"/>
      <c r="G86" s="161"/>
      <c r="H86" s="148"/>
      <c r="I86" s="148"/>
      <c r="J86" s="148"/>
      <c r="K86" s="220"/>
      <c r="L86" s="220"/>
      <c r="M86" s="557"/>
      <c r="N86" s="557"/>
      <c r="O86" s="557"/>
      <c r="P86" s="557"/>
      <c r="Q86" s="46"/>
    </row>
    <row r="87" spans="1:17" ht="12">
      <c r="A87" s="221"/>
      <c r="B87" s="222"/>
      <c r="C87" s="222"/>
      <c r="D87" s="222"/>
      <c r="E87" s="222"/>
      <c r="F87" s="222"/>
      <c r="G87" s="223"/>
      <c r="H87" s="151">
        <v>0.25</v>
      </c>
      <c r="I87" s="152">
        <v>0.5</v>
      </c>
      <c r="J87" s="151">
        <v>1</v>
      </c>
      <c r="K87" s="223"/>
      <c r="L87" s="67"/>
      <c r="M87" s="557"/>
      <c r="N87" s="557"/>
      <c r="O87" s="557"/>
      <c r="P87" s="557"/>
      <c r="Q87" s="46"/>
    </row>
    <row r="88" spans="1:17" ht="30" customHeight="1">
      <c r="A88" s="57"/>
      <c r="B88" s="148"/>
      <c r="C88" s="148"/>
      <c r="D88" s="148"/>
      <c r="E88" s="148"/>
      <c r="F88" s="148"/>
      <c r="G88" s="161"/>
      <c r="H88" s="229" t="s">
        <v>360</v>
      </c>
      <c r="I88" s="229" t="s">
        <v>361</v>
      </c>
      <c r="J88" s="229" t="s">
        <v>362</v>
      </c>
      <c r="K88" s="162" t="s">
        <v>304</v>
      </c>
      <c r="L88" s="163" t="s">
        <v>305</v>
      </c>
      <c r="M88" s="46"/>
      <c r="N88" s="46"/>
      <c r="O88" s="46"/>
      <c r="P88" s="65"/>
      <c r="Q88" s="46"/>
    </row>
    <row r="89" spans="1:17" ht="12">
      <c r="A89" s="539" t="s">
        <v>363</v>
      </c>
      <c r="B89" s="539"/>
      <c r="C89" s="539"/>
      <c r="D89" s="539"/>
      <c r="E89" s="539"/>
      <c r="F89" s="539"/>
      <c r="G89" s="539"/>
      <c r="H89" s="208"/>
      <c r="I89" s="166"/>
      <c r="J89" s="166"/>
      <c r="K89" s="167"/>
      <c r="L89" s="167"/>
      <c r="M89" s="46"/>
      <c r="N89" s="46"/>
      <c r="O89" s="46"/>
      <c r="P89" s="65"/>
      <c r="Q89" s="46"/>
    </row>
    <row r="90" spans="1:17" ht="12">
      <c r="A90" s="57"/>
      <c r="B90" s="148"/>
      <c r="C90" s="148"/>
      <c r="D90" s="148"/>
      <c r="E90" s="148"/>
      <c r="F90" s="148"/>
      <c r="G90" s="65"/>
      <c r="H90" s="540" t="s">
        <v>296</v>
      </c>
      <c r="I90" s="540"/>
      <c r="J90" s="540"/>
      <c r="K90" s="171">
        <v>0.08</v>
      </c>
      <c r="L90" s="230">
        <f>IF(AND(EXACT(H89,""),EXACT(I89,""),EXACT(J89,"")),"",IF(NOT(EXACT(J89,"")),IF(NOT(EXACT(K90,"")),K90*J87,""),IF(NOT(EXACT(I89,"")),IF(NOT(EXACT(K90,"")),K90*I87,""),IF(NOT(EXACT(H89,"")),IF(NOT(EXACT(K90,"")),K90*H87,"")))))</f>
      </c>
      <c r="M90" s="46"/>
      <c r="N90" s="46"/>
      <c r="O90" s="46"/>
      <c r="P90" s="65"/>
      <c r="Q90" s="46"/>
    </row>
    <row r="91" spans="1:17" ht="12">
      <c r="A91" s="192"/>
      <c r="B91" s="161"/>
      <c r="C91" s="161"/>
      <c r="D91" s="161"/>
      <c r="E91" s="161"/>
      <c r="F91" s="161"/>
      <c r="G91" s="161"/>
      <c r="H91" s="148"/>
      <c r="I91" s="148"/>
      <c r="J91" s="148"/>
      <c r="K91" s="220"/>
      <c r="L91" s="220"/>
      <c r="M91" s="192"/>
      <c r="N91" s="46"/>
      <c r="O91" s="46"/>
      <c r="P91" s="65"/>
      <c r="Q91" s="46"/>
    </row>
    <row r="92" spans="1:17" ht="12">
      <c r="A92" s="221"/>
      <c r="B92" s="222"/>
      <c r="C92" s="222"/>
      <c r="D92" s="222"/>
      <c r="E92" s="222"/>
      <c r="F92" s="222"/>
      <c r="G92" s="223"/>
      <c r="H92" s="151">
        <v>0</v>
      </c>
      <c r="I92" s="152">
        <v>0.5</v>
      </c>
      <c r="J92" s="151">
        <v>1</v>
      </c>
      <c r="K92" s="223"/>
      <c r="L92" s="67"/>
      <c r="M92" s="192"/>
      <c r="N92" s="46"/>
      <c r="O92" s="46"/>
      <c r="P92" s="65"/>
      <c r="Q92" s="46"/>
    </row>
    <row r="93" spans="1:17" ht="30" customHeight="1">
      <c r="A93" s="57"/>
      <c r="B93" s="148"/>
      <c r="C93" s="148"/>
      <c r="D93" s="148"/>
      <c r="E93" s="148"/>
      <c r="F93" s="148"/>
      <c r="G93" s="161"/>
      <c r="H93" s="229" t="s">
        <v>299</v>
      </c>
      <c r="I93" s="229" t="s">
        <v>364</v>
      </c>
      <c r="J93" s="229" t="s">
        <v>365</v>
      </c>
      <c r="K93" s="162" t="s">
        <v>304</v>
      </c>
      <c r="L93" s="163" t="s">
        <v>305</v>
      </c>
      <c r="M93" s="155" t="s">
        <v>355</v>
      </c>
      <c r="N93" s="156"/>
      <c r="O93" s="156"/>
      <c r="P93" s="65"/>
      <c r="Q93" s="46"/>
    </row>
    <row r="94" spans="1:17" ht="12">
      <c r="A94" s="539" t="s">
        <v>366</v>
      </c>
      <c r="B94" s="539"/>
      <c r="C94" s="539"/>
      <c r="D94" s="539"/>
      <c r="E94" s="539"/>
      <c r="F94" s="539"/>
      <c r="G94" s="539"/>
      <c r="H94" s="208"/>
      <c r="I94" s="166"/>
      <c r="J94" s="166"/>
      <c r="K94" s="167"/>
      <c r="L94" s="167"/>
      <c r="M94" s="238" t="s">
        <v>367</v>
      </c>
      <c r="N94" s="239"/>
      <c r="O94" s="239"/>
      <c r="P94" s="65"/>
      <c r="Q94" s="46"/>
    </row>
    <row r="95" spans="1:17" ht="12">
      <c r="A95" s="57"/>
      <c r="B95" s="148"/>
      <c r="C95" s="148"/>
      <c r="D95" s="148"/>
      <c r="E95" s="148"/>
      <c r="F95" s="148"/>
      <c r="G95" s="65"/>
      <c r="H95" s="540" t="s">
        <v>296</v>
      </c>
      <c r="I95" s="540"/>
      <c r="J95" s="540"/>
      <c r="K95" s="171">
        <v>0.1</v>
      </c>
      <c r="L95" s="230">
        <f>IF(AND(EXACT(H94,""),EXACT(I94,""),EXACT(J94,"")),"",IF(NOT(EXACT(J94,"")),IF(NOT(EXACT(K95,"")),K95*J92,""),IF(NOT(EXACT(I94,"")),IF(NOT(EXACT(K95,"")),K95*I92,""),IF(NOT(EXACT(H94,"")),IF(NOT(EXACT(K95,"")),K95*H92,"")))))</f>
      </c>
      <c r="M95" s="238" t="s">
        <v>368</v>
      </c>
      <c r="N95" s="239"/>
      <c r="O95" s="239"/>
      <c r="P95" s="65"/>
      <c r="Q95" s="46"/>
    </row>
    <row r="96" spans="1:17" ht="13.5" customHeight="1">
      <c r="A96" s="219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219"/>
      <c r="N96" s="175"/>
      <c r="O96" s="175"/>
      <c r="P96" s="68"/>
      <c r="Q96" s="46"/>
    </row>
    <row r="97" spans="1:6" ht="7.5" customHeight="1">
      <c r="A97" s="242"/>
      <c r="B97" s="242"/>
      <c r="C97" s="242"/>
      <c r="D97" s="242"/>
      <c r="E97" s="242"/>
      <c r="F97" s="242"/>
    </row>
    <row r="98" spans="1:17" s="180" customFormat="1" ht="15">
      <c r="A98" s="54" t="s">
        <v>369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 t="s">
        <v>296</v>
      </c>
      <c r="N98" s="145">
        <f>IF(NOT(EXACT(L105,"")),L105*100,0)</f>
        <v>0</v>
      </c>
      <c r="O98" s="55" t="s">
        <v>297</v>
      </c>
      <c r="P98" s="146">
        <f>K105*100</f>
        <v>14.000000000000002</v>
      </c>
      <c r="Q98" s="243"/>
    </row>
    <row r="99" spans="1:246" s="46" customFormat="1" ht="12">
      <c r="A99" s="57"/>
      <c r="B99" s="148"/>
      <c r="C99" s="148"/>
      <c r="D99" s="148"/>
      <c r="E99" s="148"/>
      <c r="F99" s="222"/>
      <c r="G99" s="223"/>
      <c r="H99" s="223"/>
      <c r="I99" s="223"/>
      <c r="J99" s="223"/>
      <c r="K99" s="223"/>
      <c r="L99" s="67"/>
      <c r="M99" s="244"/>
      <c r="N99" s="223"/>
      <c r="O99" s="223"/>
      <c r="P99" s="67"/>
      <c r="Q99" s="57"/>
      <c r="R99" s="148"/>
      <c r="S99" s="148"/>
      <c r="T99" s="148"/>
      <c r="U99" s="148"/>
      <c r="V99" s="148"/>
      <c r="AG99" s="148"/>
      <c r="AH99" s="148"/>
      <c r="AI99" s="148"/>
      <c r="AJ99" s="148"/>
      <c r="AK99" s="148"/>
      <c r="AL99" s="148"/>
      <c r="AW99" s="148"/>
      <c r="AX99" s="148"/>
      <c r="AY99" s="148"/>
      <c r="AZ99" s="148"/>
      <c r="BA99" s="148"/>
      <c r="BB99" s="148"/>
      <c r="BM99" s="148"/>
      <c r="BN99" s="148"/>
      <c r="BO99" s="148"/>
      <c r="BP99" s="148"/>
      <c r="BQ99" s="148"/>
      <c r="BR99" s="148"/>
      <c r="CC99" s="148"/>
      <c r="CD99" s="148"/>
      <c r="CE99" s="148"/>
      <c r="CF99" s="148"/>
      <c r="CG99" s="148"/>
      <c r="CH99" s="148"/>
      <c r="CS99" s="148"/>
      <c r="CT99" s="148"/>
      <c r="CU99" s="148"/>
      <c r="CV99" s="148"/>
      <c r="CW99" s="148"/>
      <c r="CX99" s="148"/>
      <c r="DI99" s="148"/>
      <c r="DJ99" s="148"/>
      <c r="DK99" s="148"/>
      <c r="DL99" s="148"/>
      <c r="DM99" s="148"/>
      <c r="DN99" s="148"/>
      <c r="DY99" s="148"/>
      <c r="DZ99" s="148"/>
      <c r="EA99" s="148"/>
      <c r="EB99" s="148"/>
      <c r="EC99" s="148"/>
      <c r="ED99" s="148"/>
      <c r="EO99" s="148"/>
      <c r="EP99" s="148"/>
      <c r="EQ99" s="148"/>
      <c r="ER99" s="148"/>
      <c r="ES99" s="148"/>
      <c r="ET99" s="148"/>
      <c r="FE99" s="148"/>
      <c r="FF99" s="148"/>
      <c r="FG99" s="148"/>
      <c r="FH99" s="148"/>
      <c r="FI99" s="148"/>
      <c r="FJ99" s="148"/>
      <c r="FU99" s="148"/>
      <c r="FV99" s="148"/>
      <c r="FW99" s="148"/>
      <c r="FX99" s="148"/>
      <c r="FY99" s="148"/>
      <c r="FZ99" s="148"/>
      <c r="GK99" s="148"/>
      <c r="GL99" s="148"/>
      <c r="GM99" s="148"/>
      <c r="GN99" s="148"/>
      <c r="GO99" s="148"/>
      <c r="GP99" s="148"/>
      <c r="HA99" s="148"/>
      <c r="HB99" s="148"/>
      <c r="HC99" s="148"/>
      <c r="HD99" s="148"/>
      <c r="HE99" s="148"/>
      <c r="HF99" s="148"/>
      <c r="HQ99" s="148"/>
      <c r="HR99" s="148"/>
      <c r="HS99" s="148"/>
      <c r="HT99" s="148"/>
      <c r="HU99" s="148"/>
      <c r="HV99" s="148"/>
      <c r="IG99" s="148"/>
      <c r="IH99" s="148"/>
      <c r="II99" s="148"/>
      <c r="IJ99" s="148"/>
      <c r="IK99" s="148"/>
      <c r="IL99" s="148"/>
    </row>
    <row r="100" spans="1:17" s="46" customFormat="1" ht="12">
      <c r="A100" s="221"/>
      <c r="B100" s="222"/>
      <c r="C100" s="222"/>
      <c r="D100" s="222"/>
      <c r="E100" s="222"/>
      <c r="F100" s="222"/>
      <c r="G100" s="223"/>
      <c r="H100" s="151">
        <v>0</v>
      </c>
      <c r="I100" s="152">
        <v>0.5</v>
      </c>
      <c r="J100" s="151">
        <v>1</v>
      </c>
      <c r="K100" s="223"/>
      <c r="L100" s="67"/>
      <c r="M100" s="192"/>
      <c r="P100" s="65"/>
      <c r="Q100" s="192"/>
    </row>
    <row r="101" spans="1:17" s="46" customFormat="1" ht="30" customHeight="1">
      <c r="A101" s="157"/>
      <c r="B101" s="148"/>
      <c r="C101" s="148"/>
      <c r="D101" s="148"/>
      <c r="E101" s="148"/>
      <c r="F101" s="148"/>
      <c r="G101" s="161"/>
      <c r="H101" s="229" t="s">
        <v>299</v>
      </c>
      <c r="I101" s="229" t="s">
        <v>300</v>
      </c>
      <c r="J101" s="229" t="s">
        <v>301</v>
      </c>
      <c r="K101" s="162" t="s">
        <v>304</v>
      </c>
      <c r="L101" s="163" t="s">
        <v>305</v>
      </c>
      <c r="P101" s="65"/>
      <c r="Q101" s="192"/>
    </row>
    <row r="102" spans="1:17" s="46" customFormat="1" ht="12">
      <c r="A102" s="539" t="s">
        <v>370</v>
      </c>
      <c r="B102" s="539"/>
      <c r="C102" s="539"/>
      <c r="D102" s="539"/>
      <c r="E102" s="539"/>
      <c r="F102" s="539"/>
      <c r="G102" s="539"/>
      <c r="H102" s="208"/>
      <c r="I102" s="166"/>
      <c r="J102" s="166"/>
      <c r="K102" s="224">
        <v>0.04</v>
      </c>
      <c r="L102" s="209">
        <f>IF(AND(EXACT(H102,""),EXACT(I102,""),EXACT(J102,"")),"",IF(NOT(EXACT(J102,"")),IF(NOT(EXACT(K102,"")),K102*$J$100,""),IF(NOT(EXACT(I102,"")),IF(NOT(EXACT(K102,"")),K102*$I$100,""),IF(NOT(EXACT(H102,"")),IF(NOT(EXACT(K102,"")),K102*$H$100,"")))))</f>
      </c>
      <c r="M102" s="156" t="s">
        <v>302</v>
      </c>
      <c r="P102" s="65"/>
      <c r="Q102" s="192"/>
    </row>
    <row r="103" spans="1:17" s="46" customFormat="1" ht="12.75" customHeight="1">
      <c r="A103" s="539" t="s">
        <v>371</v>
      </c>
      <c r="B103" s="539"/>
      <c r="C103" s="539"/>
      <c r="D103" s="539"/>
      <c r="E103" s="539"/>
      <c r="F103" s="539"/>
      <c r="G103" s="539"/>
      <c r="H103" s="208"/>
      <c r="I103" s="166"/>
      <c r="J103" s="166"/>
      <c r="K103" s="224">
        <v>0.05</v>
      </c>
      <c r="L103" s="209">
        <f>IF(AND(EXACT(H103,""),EXACT(I103,""),EXACT(J103,"")),"",IF(NOT(EXACT(J103,"")),IF(NOT(EXACT(K103,"")),K103*$J$100,""),IF(NOT(EXACT(I103,"")),IF(NOT(EXACT(K103,"")),K103*$I$100,""),IF(NOT(EXACT(H103,"")),IF(NOT(EXACT(K103,"")),K103*$H$100,"")))))</f>
      </c>
      <c r="M103" s="549" t="s">
        <v>327</v>
      </c>
      <c r="N103" s="549"/>
      <c r="O103" s="549"/>
      <c r="P103" s="549"/>
      <c r="Q103" s="192"/>
    </row>
    <row r="104" spans="1:17" s="46" customFormat="1" ht="12">
      <c r="A104" s="539" t="s">
        <v>372</v>
      </c>
      <c r="B104" s="539"/>
      <c r="C104" s="539"/>
      <c r="D104" s="539"/>
      <c r="E104" s="539"/>
      <c r="F104" s="539"/>
      <c r="G104" s="539"/>
      <c r="H104" s="208"/>
      <c r="I104" s="166"/>
      <c r="J104" s="166"/>
      <c r="K104" s="224">
        <v>0.05</v>
      </c>
      <c r="L104" s="209">
        <f>IF(AND(EXACT(H104,""),EXACT(I104,""),EXACT(J104,"")),"",IF(NOT(EXACT(J104,"")),IF(NOT(EXACT(K104,"")),K104*$J$100,""),IF(NOT(EXACT(I104,"")),IF(NOT(EXACT(K104,"")),K104*$I$100,""),IF(NOT(EXACT(H104,"")),IF(NOT(EXACT(K104,"")),K104*$H$100,"")))))</f>
      </c>
      <c r="M104" s="549"/>
      <c r="N104" s="549"/>
      <c r="O104" s="549"/>
      <c r="P104" s="549"/>
      <c r="Q104" s="192"/>
    </row>
    <row r="105" spans="1:17" s="46" customFormat="1" ht="12">
      <c r="A105" s="57"/>
      <c r="B105" s="148"/>
      <c r="C105" s="148"/>
      <c r="D105" s="148"/>
      <c r="E105" s="148"/>
      <c r="F105" s="148"/>
      <c r="G105" s="65"/>
      <c r="H105" s="540" t="s">
        <v>296</v>
      </c>
      <c r="I105" s="540"/>
      <c r="J105" s="540"/>
      <c r="K105" s="171">
        <f>SUM(K102:K104)</f>
        <v>0.14</v>
      </c>
      <c r="L105" s="230">
        <f>IF(AND(NOT(EXACT(L102,"")),NOT(EXACT(L103,"")),NOT(EXACT(L104,""))),SUM(L102:L104),"")</f>
      </c>
      <c r="M105" s="549"/>
      <c r="N105" s="549"/>
      <c r="O105" s="549"/>
      <c r="P105" s="549"/>
      <c r="Q105" s="192"/>
    </row>
    <row r="106" spans="1:246" s="202" customFormat="1" ht="12">
      <c r="A106" s="57"/>
      <c r="B106" s="148"/>
      <c r="C106" s="148"/>
      <c r="D106" s="148"/>
      <c r="E106" s="148"/>
      <c r="F106" s="148"/>
      <c r="L106" s="199"/>
      <c r="M106" s="201"/>
      <c r="P106" s="199"/>
      <c r="Q106" s="57"/>
      <c r="R106" s="148"/>
      <c r="S106" s="148"/>
      <c r="T106" s="148"/>
      <c r="U106" s="148"/>
      <c r="V106" s="148"/>
      <c r="AG106" s="148"/>
      <c r="AH106" s="148"/>
      <c r="AI106" s="148"/>
      <c r="AJ106" s="148"/>
      <c r="AK106" s="148"/>
      <c r="AL106" s="148"/>
      <c r="AW106" s="148"/>
      <c r="AX106" s="148"/>
      <c r="AY106" s="148"/>
      <c r="AZ106" s="148"/>
      <c r="BA106" s="148"/>
      <c r="BB106" s="148"/>
      <c r="BM106" s="148"/>
      <c r="BN106" s="148"/>
      <c r="BO106" s="148"/>
      <c r="BP106" s="148"/>
      <c r="BQ106" s="148"/>
      <c r="BR106" s="148"/>
      <c r="CC106" s="148"/>
      <c r="CD106" s="148"/>
      <c r="CE106" s="148"/>
      <c r="CF106" s="148"/>
      <c r="CG106" s="148"/>
      <c r="CH106" s="148"/>
      <c r="CS106" s="148"/>
      <c r="CT106" s="148"/>
      <c r="CU106" s="148"/>
      <c r="CV106" s="148"/>
      <c r="CW106" s="148"/>
      <c r="CX106" s="148"/>
      <c r="DI106" s="148"/>
      <c r="DJ106" s="148"/>
      <c r="DK106" s="148"/>
      <c r="DL106" s="148"/>
      <c r="DM106" s="148"/>
      <c r="DN106" s="148"/>
      <c r="DY106" s="148"/>
      <c r="DZ106" s="148"/>
      <c r="EA106" s="148"/>
      <c r="EB106" s="148"/>
      <c r="EC106" s="148"/>
      <c r="ED106" s="148"/>
      <c r="EO106" s="148"/>
      <c r="EP106" s="148"/>
      <c r="EQ106" s="148"/>
      <c r="ER106" s="148"/>
      <c r="ES106" s="148"/>
      <c r="ET106" s="148"/>
      <c r="FE106" s="148"/>
      <c r="FF106" s="148"/>
      <c r="FG106" s="148"/>
      <c r="FH106" s="148"/>
      <c r="FI106" s="148"/>
      <c r="FJ106" s="148"/>
      <c r="FU106" s="148"/>
      <c r="FV106" s="148"/>
      <c r="FW106" s="148"/>
      <c r="FX106" s="148"/>
      <c r="FY106" s="148"/>
      <c r="FZ106" s="148"/>
      <c r="GK106" s="148"/>
      <c r="GL106" s="148"/>
      <c r="GM106" s="148"/>
      <c r="GN106" s="148"/>
      <c r="GO106" s="148"/>
      <c r="GP106" s="148"/>
      <c r="HA106" s="148"/>
      <c r="HB106" s="148"/>
      <c r="HC106" s="148"/>
      <c r="HD106" s="148"/>
      <c r="HE106" s="148"/>
      <c r="HF106" s="148"/>
      <c r="HQ106" s="148"/>
      <c r="HR106" s="148"/>
      <c r="HS106" s="148"/>
      <c r="HT106" s="148"/>
      <c r="HU106" s="148"/>
      <c r="HV106" s="148"/>
      <c r="IG106" s="148"/>
      <c r="IH106" s="148"/>
      <c r="II106" s="148"/>
      <c r="IJ106" s="148"/>
      <c r="IK106" s="148"/>
      <c r="IL106" s="148"/>
    </row>
    <row r="107" spans="1:16" ht="6.75" customHeight="1">
      <c r="A107" s="223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</row>
    <row r="108" spans="1:17" ht="15">
      <c r="A108" s="245" t="s">
        <v>291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 t="s">
        <v>296</v>
      </c>
      <c r="N108" s="247">
        <f>IF(AND(NOT(EXACT(L115,"")),NOT(EXACT(L135,""))),(L115+L135)*100,IF(AND(EXACT(L115,""),NOT(EXACT(L135,""))),L135*100,IF(AND(NOT(EXACT(L115,"")),EXACT(L135,"")),L115*100,0)))</f>
        <v>0</v>
      </c>
      <c r="O108" s="246" t="s">
        <v>297</v>
      </c>
      <c r="P108" s="248">
        <f>(K115+K135)*100</f>
        <v>30.000000000000004</v>
      </c>
      <c r="Q108" s="249">
        <f>P108+P138+P171</f>
        <v>100</v>
      </c>
    </row>
    <row r="109" spans="1:17" ht="12">
      <c r="A109" s="57"/>
      <c r="B109" s="148"/>
      <c r="C109" s="148"/>
      <c r="D109" s="148"/>
      <c r="E109" s="148"/>
      <c r="F109" s="148"/>
      <c r="G109" s="46"/>
      <c r="H109" s="46"/>
      <c r="I109" s="46"/>
      <c r="J109" s="250"/>
      <c r="K109" s="46"/>
      <c r="L109" s="46"/>
      <c r="M109" s="149" t="s">
        <v>298</v>
      </c>
      <c r="N109" s="150"/>
      <c r="O109" s="150"/>
      <c r="P109" s="65"/>
      <c r="Q109" s="46"/>
    </row>
    <row r="110" spans="1:17" ht="12">
      <c r="A110" s="221"/>
      <c r="B110" s="222"/>
      <c r="C110" s="222"/>
      <c r="D110" s="222"/>
      <c r="E110" s="222"/>
      <c r="F110" s="222"/>
      <c r="G110" s="223"/>
      <c r="H110" s="151">
        <v>0</v>
      </c>
      <c r="I110" s="152">
        <v>0.5</v>
      </c>
      <c r="J110" s="152">
        <v>1</v>
      </c>
      <c r="K110" s="223"/>
      <c r="L110" s="67"/>
      <c r="M110" s="201"/>
      <c r="N110" s="202"/>
      <c r="O110" s="202"/>
      <c r="P110" s="65"/>
      <c r="Q110" s="46"/>
    </row>
    <row r="111" spans="1:17" ht="13.5" customHeight="1">
      <c r="A111" s="57"/>
      <c r="B111" s="148"/>
      <c r="C111" s="148"/>
      <c r="D111" s="153"/>
      <c r="E111" s="148"/>
      <c r="F111" s="154"/>
      <c r="G111" s="46"/>
      <c r="H111" s="544" t="s">
        <v>299</v>
      </c>
      <c r="I111" s="544" t="s">
        <v>300</v>
      </c>
      <c r="J111" s="544" t="s">
        <v>301</v>
      </c>
      <c r="K111" s="46"/>
      <c r="L111" s="46"/>
      <c r="M111" s="155" t="s">
        <v>302</v>
      </c>
      <c r="N111" s="156"/>
      <c r="O111" s="156"/>
      <c r="P111" s="65"/>
      <c r="Q111" s="46"/>
    </row>
    <row r="112" spans="1:17" ht="12">
      <c r="A112" s="157" t="s">
        <v>303</v>
      </c>
      <c r="B112" s="148"/>
      <c r="C112" s="148"/>
      <c r="D112" s="158"/>
      <c r="E112" s="159"/>
      <c r="F112" s="160"/>
      <c r="G112" s="161"/>
      <c r="H112" s="544"/>
      <c r="I112" s="544"/>
      <c r="J112" s="544"/>
      <c r="K112" s="162" t="s">
        <v>304</v>
      </c>
      <c r="L112" s="203" t="s">
        <v>305</v>
      </c>
      <c r="M112" s="238"/>
      <c r="N112" s="239"/>
      <c r="O112" s="239"/>
      <c r="P112" s="65"/>
      <c r="Q112" s="46"/>
    </row>
    <row r="113" spans="1:17" ht="12">
      <c r="A113" s="539" t="s">
        <v>373</v>
      </c>
      <c r="B113" s="539"/>
      <c r="C113" s="539"/>
      <c r="D113" s="539"/>
      <c r="E113" s="539"/>
      <c r="F113" s="539"/>
      <c r="G113" s="539"/>
      <c r="H113" s="208"/>
      <c r="I113" s="208"/>
      <c r="J113" s="208"/>
      <c r="K113" s="224">
        <v>0.05</v>
      </c>
      <c r="L113" s="210">
        <f>IF(AND(EXACT(H113,""),EXACT(I113,""),EXACT(J113,"")),"",IF(NOT(EXACT(J113,"")),IF(NOT(EXACT(K113,"")),K113*$J$110,""),IF(NOT(EXACT(I113,"")),IF(NOT(EXACT(K113,"")),K113*$I$110,""),IF(NOT(EXACT(H113,"")),IF(NOT(EXACT(K113,"")),K113*$H$110,"")))))</f>
      </c>
      <c r="M113" s="251"/>
      <c r="N113" s="252"/>
      <c r="O113" s="252"/>
      <c r="P113" s="65"/>
      <c r="Q113" s="46"/>
    </row>
    <row r="114" spans="1:17" ht="12">
      <c r="A114" s="539" t="s">
        <v>374</v>
      </c>
      <c r="B114" s="539"/>
      <c r="C114" s="539"/>
      <c r="D114" s="539"/>
      <c r="E114" s="539"/>
      <c r="F114" s="539"/>
      <c r="G114" s="539"/>
      <c r="H114" s="208"/>
      <c r="I114" s="208"/>
      <c r="J114" s="208"/>
      <c r="K114" s="224">
        <v>0.05</v>
      </c>
      <c r="L114" s="210">
        <f>IF(AND(EXACT(H114,""),EXACT(I114,""),EXACT(J114,"")),"",IF(NOT(EXACT(J114,"")),IF(NOT(EXACT(K114,"")),K114*$J$110,""),IF(NOT(EXACT(I114,"")),IF(NOT(EXACT(K114,"")),K114*$I$110,""),IF(NOT(EXACT(H114,"")),IF(NOT(EXACT(K114,"")),K114*$H$110,"")))))</f>
      </c>
      <c r="M114" s="251"/>
      <c r="N114" s="252"/>
      <c r="O114" s="252"/>
      <c r="P114" s="49"/>
      <c r="Q114" s="48"/>
    </row>
    <row r="115" spans="1:17" ht="12">
      <c r="A115" s="168"/>
      <c r="B115" s="148"/>
      <c r="C115" s="148"/>
      <c r="D115" s="169"/>
      <c r="E115" s="148"/>
      <c r="F115" s="169"/>
      <c r="G115" s="48"/>
      <c r="H115" s="540" t="s">
        <v>296</v>
      </c>
      <c r="I115" s="540"/>
      <c r="J115" s="540"/>
      <c r="K115" s="171">
        <f>SUM(K113:K114)</f>
        <v>0.1</v>
      </c>
      <c r="L115" s="225">
        <f>IF(AND(OR(NOT(EXACT(H113,"")),NOT(EXACT(I113,"")),NOT(EXACT(J113,""))),OR(NOT(EXACT(H114,"")),NOT(EXACT(I114,"")),NOT(EXACT(J114,"")))),SUM(L113:L114),"")</f>
      </c>
      <c r="M115" s="192"/>
      <c r="N115" s="46"/>
      <c r="O115" s="46"/>
      <c r="P115" s="49"/>
      <c r="Q115" s="48"/>
    </row>
    <row r="116" spans="1:19" ht="12">
      <c r="A116" s="157" t="s">
        <v>375</v>
      </c>
      <c r="B116" s="148"/>
      <c r="C116" s="148"/>
      <c r="D116" s="169"/>
      <c r="E116" s="148"/>
      <c r="F116" s="169"/>
      <c r="G116" s="48"/>
      <c r="H116" s="253"/>
      <c r="I116" s="253"/>
      <c r="J116" s="253"/>
      <c r="K116" s="254"/>
      <c r="L116" s="255"/>
      <c r="M116" s="192"/>
      <c r="N116" s="46"/>
      <c r="O116" s="46"/>
      <c r="P116" s="49"/>
      <c r="Q116" s="48"/>
      <c r="S116" s="256"/>
    </row>
    <row r="117" spans="1:17" ht="12">
      <c r="A117" s="539" t="s">
        <v>376</v>
      </c>
      <c r="B117" s="539"/>
      <c r="C117" s="539"/>
      <c r="D117" s="539"/>
      <c r="E117" s="539"/>
      <c r="F117" s="539"/>
      <c r="G117" s="539"/>
      <c r="H117" s="548"/>
      <c r="I117" s="548"/>
      <c r="J117" s="548"/>
      <c r="K117" s="190"/>
      <c r="L117" s="191"/>
      <c r="M117" s="47"/>
      <c r="N117" s="48"/>
      <c r="O117" s="48"/>
      <c r="P117" s="49"/>
      <c r="Q117" s="48"/>
    </row>
    <row r="118" spans="1:17" ht="12">
      <c r="A118" s="193"/>
      <c r="B118" s="161"/>
      <c r="C118" s="161"/>
      <c r="D118" s="161"/>
      <c r="E118" s="161"/>
      <c r="F118" s="161"/>
      <c r="G118" s="194"/>
      <c r="H118" s="195">
        <v>0</v>
      </c>
      <c r="I118" s="196">
        <v>0.75</v>
      </c>
      <c r="J118" s="195">
        <v>1</v>
      </c>
      <c r="K118" s="197"/>
      <c r="L118" s="154"/>
      <c r="M118" s="47"/>
      <c r="N118" s="48"/>
      <c r="O118" s="48"/>
      <c r="P118" s="49"/>
      <c r="Q118" s="48"/>
    </row>
    <row r="119" spans="1:17" ht="12.75" customHeight="1">
      <c r="A119" s="198"/>
      <c r="B119" s="148"/>
      <c r="C119" s="148"/>
      <c r="D119" s="148"/>
      <c r="E119" s="148"/>
      <c r="F119" s="148"/>
      <c r="G119" s="199"/>
      <c r="H119" s="544" t="s">
        <v>299</v>
      </c>
      <c r="I119" s="544" t="s">
        <v>301</v>
      </c>
      <c r="J119" s="544" t="s">
        <v>377</v>
      </c>
      <c r="K119" s="200"/>
      <c r="L119" s="160"/>
      <c r="M119" s="47"/>
      <c r="N119" s="48"/>
      <c r="O119" s="48"/>
      <c r="P119" s="49"/>
      <c r="Q119" s="48"/>
    </row>
    <row r="120" spans="1:17" ht="31.5" customHeight="1">
      <c r="A120" s="198"/>
      <c r="B120" s="257" t="s">
        <v>378</v>
      </c>
      <c r="C120" s="148"/>
      <c r="D120" s="148"/>
      <c r="E120" s="148"/>
      <c r="F120" s="148"/>
      <c r="G120" s="199"/>
      <c r="H120" s="544"/>
      <c r="I120" s="544"/>
      <c r="J120" s="544"/>
      <c r="K120" s="162" t="s">
        <v>304</v>
      </c>
      <c r="L120" s="203" t="s">
        <v>305</v>
      </c>
      <c r="M120" s="155" t="s">
        <v>379</v>
      </c>
      <c r="N120" s="156"/>
      <c r="O120" s="156"/>
      <c r="P120" s="49"/>
      <c r="Q120" s="48"/>
    </row>
    <row r="121" spans="1:17" ht="12">
      <c r="A121" s="204"/>
      <c r="B121" s="258" t="s">
        <v>380</v>
      </c>
      <c r="C121" s="259"/>
      <c r="D121" s="555"/>
      <c r="E121" s="555"/>
      <c r="F121" s="555"/>
      <c r="G121" s="555"/>
      <c r="H121" s="260"/>
      <c r="I121" s="260"/>
      <c r="J121" s="260"/>
      <c r="K121" s="167"/>
      <c r="L121" s="261">
        <f>IF(OR(AND(EXACT(H121,""),EXACT(I121,""),EXACT(J121,"")),EXACT($H$29,"")),"",IF(NOT(EXACT(J121,"")),IF(NOT(EXACT(K121,"")),K121*$J$56,""),IF(NOT(EXACT(I121,"")),IF(NOT(EXACT(K121,"")),K121*$I$56,""),IF(NOT(EXACT(H121,"")),IF(NOT(EXACT(K121,"")),K121*$H$56,"")))))</f>
      </c>
      <c r="M121" s="238" t="s">
        <v>381</v>
      </c>
      <c r="N121" s="239"/>
      <c r="O121" s="239"/>
      <c r="P121" s="65"/>
      <c r="Q121" s="46"/>
    </row>
    <row r="122" spans="1:17" ht="12">
      <c r="A122" s="193"/>
      <c r="C122" s="556" t="s">
        <v>382</v>
      </c>
      <c r="D122" s="556"/>
      <c r="E122" s="556"/>
      <c r="F122" s="556"/>
      <c r="G122" s="556"/>
      <c r="H122" s="208"/>
      <c r="I122" s="208"/>
      <c r="J122" s="208"/>
      <c r="K122" s="209">
        <f aca="true" t="shared" si="0" ref="K122:K127">IF(AND(NOT(EXACT($H$117,"")),$H$117&gt;=1),$K$135/6/$H$117,"")</f>
      </c>
      <c r="L122" s="209">
        <f aca="true" t="shared" si="1" ref="L122:L134">IF(OR(AND(EXACT(H122,""),EXACT(I122,""),EXACT(J122,"")),EXACT($H$117,"")),"",IF(NOT(EXACT(J122,"")),IF(NOT(EXACT(K122,"")),K122*$J$118,""),IF(NOT(EXACT(I122,"")),IF(NOT(EXACT(K122,"")),K122*$I$118,""),IF(NOT(EXACT(H122,"")),IF(NOT(EXACT(K122,"")),K122*$H$118,"")))))</f>
      </c>
      <c r="M122" s="262" t="s">
        <v>383</v>
      </c>
      <c r="N122" s="262"/>
      <c r="O122" s="262"/>
      <c r="P122" s="65"/>
      <c r="Q122" s="46"/>
    </row>
    <row r="123" spans="1:17" ht="12">
      <c r="A123" s="193"/>
      <c r="C123" s="550" t="s">
        <v>384</v>
      </c>
      <c r="D123" s="550"/>
      <c r="E123" s="550"/>
      <c r="F123" s="550"/>
      <c r="G123" s="550"/>
      <c r="H123" s="208"/>
      <c r="I123" s="208"/>
      <c r="J123" s="208"/>
      <c r="K123" s="209">
        <f t="shared" si="0"/>
      </c>
      <c r="L123" s="209">
        <f t="shared" si="1"/>
      </c>
      <c r="M123" s="262" t="s">
        <v>385</v>
      </c>
      <c r="N123" s="262"/>
      <c r="O123" s="262"/>
      <c r="P123" s="65"/>
      <c r="Q123" s="46"/>
    </row>
    <row r="124" spans="1:17" ht="12">
      <c r="A124" s="193"/>
      <c r="B124" s="204"/>
      <c r="C124" s="551" t="s">
        <v>386</v>
      </c>
      <c r="D124" s="551"/>
      <c r="E124" s="551"/>
      <c r="F124" s="551"/>
      <c r="G124" s="551"/>
      <c r="H124" s="208"/>
      <c r="I124" s="208"/>
      <c r="J124" s="208"/>
      <c r="K124" s="209">
        <f t="shared" si="0"/>
      </c>
      <c r="L124" s="209">
        <f t="shared" si="1"/>
      </c>
      <c r="M124" s="262" t="s">
        <v>387</v>
      </c>
      <c r="N124" s="262"/>
      <c r="O124" s="262"/>
      <c r="P124" s="65"/>
      <c r="Q124" s="46"/>
    </row>
    <row r="125" spans="1:17" ht="12">
      <c r="A125" s="193"/>
      <c r="C125" s="552" t="s">
        <v>388</v>
      </c>
      <c r="D125" s="552"/>
      <c r="E125" s="552"/>
      <c r="F125" s="552"/>
      <c r="G125" s="552"/>
      <c r="H125" s="208"/>
      <c r="I125" s="208"/>
      <c r="J125" s="208"/>
      <c r="K125" s="209">
        <f t="shared" si="0"/>
      </c>
      <c r="L125" s="209">
        <f t="shared" si="1"/>
      </c>
      <c r="M125" s="238" t="s">
        <v>389</v>
      </c>
      <c r="N125" s="239"/>
      <c r="O125" s="239"/>
      <c r="P125" s="65"/>
      <c r="Q125" s="46"/>
    </row>
    <row r="126" spans="1:17" ht="12">
      <c r="A126" s="193"/>
      <c r="C126" s="553" t="s">
        <v>390</v>
      </c>
      <c r="D126" s="553"/>
      <c r="E126" s="553"/>
      <c r="F126" s="553"/>
      <c r="G126" s="553"/>
      <c r="H126" s="208"/>
      <c r="I126" s="208"/>
      <c r="J126" s="208"/>
      <c r="K126" s="209">
        <f t="shared" si="0"/>
      </c>
      <c r="L126" s="209">
        <f t="shared" si="1"/>
      </c>
      <c r="M126" s="238" t="s">
        <v>391</v>
      </c>
      <c r="N126" s="239"/>
      <c r="O126" s="239"/>
      <c r="P126" s="65"/>
      <c r="Q126" s="46"/>
    </row>
    <row r="127" spans="1:17" ht="12">
      <c r="A127" s="168"/>
      <c r="B127" s="193"/>
      <c r="C127" s="554" t="s">
        <v>392</v>
      </c>
      <c r="D127" s="554"/>
      <c r="E127" s="554"/>
      <c r="F127" s="554"/>
      <c r="G127" s="554"/>
      <c r="H127" s="208"/>
      <c r="I127" s="208"/>
      <c r="J127" s="208"/>
      <c r="K127" s="209">
        <f t="shared" si="0"/>
      </c>
      <c r="L127" s="209">
        <f t="shared" si="1"/>
      </c>
      <c r="M127" s="238" t="s">
        <v>393</v>
      </c>
      <c r="N127" s="239"/>
      <c r="O127" s="239"/>
      <c r="P127" s="65"/>
      <c r="Q127" s="46"/>
    </row>
    <row r="128" spans="1:17" ht="13.5" customHeight="1">
      <c r="A128" s="168"/>
      <c r="B128" s="258" t="s">
        <v>394</v>
      </c>
      <c r="C128" s="259"/>
      <c r="D128" s="555"/>
      <c r="E128" s="555"/>
      <c r="F128" s="555"/>
      <c r="G128" s="555"/>
      <c r="H128" s="260"/>
      <c r="I128" s="260"/>
      <c r="J128" s="260"/>
      <c r="K128" s="167"/>
      <c r="L128" s="167">
        <f t="shared" si="1"/>
      </c>
      <c r="P128" s="65"/>
      <c r="Q128" s="46"/>
    </row>
    <row r="129" spans="1:17" ht="13.5" customHeight="1">
      <c r="A129" s="168"/>
      <c r="B129" s="67"/>
      <c r="C129" s="556" t="s">
        <v>382</v>
      </c>
      <c r="D129" s="556"/>
      <c r="E129" s="556"/>
      <c r="F129" s="556"/>
      <c r="G129" s="556"/>
      <c r="H129" s="208"/>
      <c r="I129" s="208"/>
      <c r="J129" s="208"/>
      <c r="K129" s="209">
        <f aca="true" t="shared" si="2" ref="K129:K134">IF(AND(NOT(EXACT($H$117,"")),$H$117&gt;=2),$K$135/6/$H$117,"")</f>
      </c>
      <c r="L129" s="209">
        <f t="shared" si="1"/>
      </c>
      <c r="P129" s="263"/>
      <c r="Q129" s="264"/>
    </row>
    <row r="130" spans="1:17" ht="12">
      <c r="A130" s="168"/>
      <c r="B130" s="65"/>
      <c r="C130" s="550" t="s">
        <v>395</v>
      </c>
      <c r="D130" s="550"/>
      <c r="E130" s="550"/>
      <c r="F130" s="550"/>
      <c r="G130" s="550"/>
      <c r="H130" s="208"/>
      <c r="I130" s="208"/>
      <c r="J130" s="208"/>
      <c r="K130" s="209">
        <f t="shared" si="2"/>
      </c>
      <c r="L130" s="209">
        <f t="shared" si="1"/>
      </c>
      <c r="P130" s="65"/>
      <c r="Q130" s="46"/>
    </row>
    <row r="131" spans="1:17" ht="12">
      <c r="A131" s="168"/>
      <c r="B131" s="65"/>
      <c r="C131" s="551" t="s">
        <v>386</v>
      </c>
      <c r="D131" s="551"/>
      <c r="E131" s="551"/>
      <c r="F131" s="551"/>
      <c r="G131" s="551"/>
      <c r="H131" s="208"/>
      <c r="I131" s="208"/>
      <c r="J131" s="208"/>
      <c r="K131" s="209">
        <f t="shared" si="2"/>
      </c>
      <c r="L131" s="209">
        <f t="shared" si="1"/>
      </c>
      <c r="M131" s="155" t="s">
        <v>355</v>
      </c>
      <c r="N131" s="156"/>
      <c r="O131" s="156"/>
      <c r="P131" s="65"/>
      <c r="Q131" s="46"/>
    </row>
    <row r="132" spans="1:17" ht="12.75" customHeight="1">
      <c r="A132" s="168"/>
      <c r="B132" s="65"/>
      <c r="C132" s="552" t="s">
        <v>388</v>
      </c>
      <c r="D132" s="552"/>
      <c r="E132" s="552"/>
      <c r="F132" s="552"/>
      <c r="G132" s="552"/>
      <c r="H132" s="208"/>
      <c r="I132" s="208"/>
      <c r="J132" s="208"/>
      <c r="K132" s="209">
        <f t="shared" si="2"/>
      </c>
      <c r="L132" s="209">
        <f t="shared" si="1"/>
      </c>
      <c r="M132" s="549" t="s">
        <v>396</v>
      </c>
      <c r="N132" s="549"/>
      <c r="O132" s="549"/>
      <c r="P132" s="549"/>
      <c r="Q132" s="46"/>
    </row>
    <row r="133" spans="1:17" ht="12">
      <c r="A133" s="168"/>
      <c r="B133" s="65"/>
      <c r="C133" s="553" t="s">
        <v>390</v>
      </c>
      <c r="D133" s="553"/>
      <c r="E133" s="553"/>
      <c r="F133" s="553"/>
      <c r="G133" s="553"/>
      <c r="H133" s="208"/>
      <c r="I133" s="208"/>
      <c r="J133" s="208"/>
      <c r="K133" s="209">
        <f t="shared" si="2"/>
      </c>
      <c r="L133" s="209">
        <f t="shared" si="1"/>
      </c>
      <c r="M133" s="549"/>
      <c r="N133" s="549"/>
      <c r="O133" s="549"/>
      <c r="P133" s="549"/>
      <c r="Q133" s="46"/>
    </row>
    <row r="134" spans="1:17" ht="12">
      <c r="A134" s="168"/>
      <c r="B134" s="194"/>
      <c r="C134" s="554" t="s">
        <v>392</v>
      </c>
      <c r="D134" s="554"/>
      <c r="E134" s="554"/>
      <c r="F134" s="554"/>
      <c r="G134" s="554"/>
      <c r="H134" s="208"/>
      <c r="I134" s="208"/>
      <c r="J134" s="208"/>
      <c r="K134" s="209">
        <f t="shared" si="2"/>
      </c>
      <c r="L134" s="209">
        <f t="shared" si="1"/>
      </c>
      <c r="M134" s="549"/>
      <c r="N134" s="549"/>
      <c r="O134" s="549"/>
      <c r="P134" s="549"/>
      <c r="Q134" s="46"/>
    </row>
    <row r="135" spans="1:17" ht="12">
      <c r="A135" s="57"/>
      <c r="B135" s="148"/>
      <c r="C135" s="148"/>
      <c r="D135" s="148"/>
      <c r="E135" s="148"/>
      <c r="F135" s="148"/>
      <c r="G135" s="65"/>
      <c r="H135" s="540" t="s">
        <v>296</v>
      </c>
      <c r="I135" s="540"/>
      <c r="J135" s="540"/>
      <c r="K135" s="265">
        <v>0.2</v>
      </c>
      <c r="L135" s="237">
        <f>IF(EXACT(H117,""),"",IF(H117=0,K135,SUM(L121:L134)))</f>
      </c>
      <c r="M135" s="549"/>
      <c r="N135" s="549"/>
      <c r="O135" s="549"/>
      <c r="P135" s="549"/>
      <c r="Q135" s="46"/>
    </row>
    <row r="136" spans="1:17" ht="12">
      <c r="A136" s="58"/>
      <c r="B136" s="159"/>
      <c r="C136" s="159"/>
      <c r="D136" s="159"/>
      <c r="E136" s="159"/>
      <c r="F136" s="159"/>
      <c r="G136" s="175"/>
      <c r="H136" s="175"/>
      <c r="I136" s="175"/>
      <c r="J136" s="175"/>
      <c r="K136" s="175"/>
      <c r="L136" s="175"/>
      <c r="M136" s="219"/>
      <c r="N136" s="175"/>
      <c r="O136" s="175"/>
      <c r="P136" s="68"/>
      <c r="Q136" s="46"/>
    </row>
    <row r="137" spans="1:16" ht="6.75" customHeight="1">
      <c r="A137" s="223"/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</row>
    <row r="138" spans="1:17" ht="15">
      <c r="A138" s="266" t="s">
        <v>397</v>
      </c>
      <c r="B138" s="267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 t="s">
        <v>296</v>
      </c>
      <c r="N138" s="268">
        <f>IF(AND(NOT(EXACT(L150,"")),NOT(EXACT(L157,"")),NOT(EXACT(L168,""))),(L150+L157+L168)*100,0)</f>
        <v>0</v>
      </c>
      <c r="O138" s="267" t="s">
        <v>297</v>
      </c>
      <c r="P138" s="269">
        <f>(K150+K157+K168)*100</f>
        <v>30.000000000000004</v>
      </c>
      <c r="Q138" s="180"/>
    </row>
    <row r="139" spans="1:17" ht="15">
      <c r="A139" s="181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3" t="s">
        <v>298</v>
      </c>
      <c r="N139" s="184"/>
      <c r="O139" s="184"/>
      <c r="P139" s="185"/>
      <c r="Q139" s="180"/>
    </row>
    <row r="140" spans="1:17" ht="12">
      <c r="A140" s="186" t="s">
        <v>398</v>
      </c>
      <c r="B140" s="187"/>
      <c r="C140" s="187"/>
      <c r="D140" s="187"/>
      <c r="E140" s="187"/>
      <c r="F140" s="187"/>
      <c r="G140" s="188"/>
      <c r="H140" s="548"/>
      <c r="I140" s="548"/>
      <c r="J140" s="548"/>
      <c r="K140" s="190"/>
      <c r="L140" s="191"/>
      <c r="M140" s="192"/>
      <c r="N140" s="46"/>
      <c r="O140" s="46"/>
      <c r="P140" s="65"/>
      <c r="Q140" s="46"/>
    </row>
    <row r="141" spans="1:17" ht="12">
      <c r="A141" s="168"/>
      <c r="B141" s="270"/>
      <c r="C141" s="271"/>
      <c r="D141" s="271"/>
      <c r="E141" s="271"/>
      <c r="F141" s="271"/>
      <c r="G141" s="272"/>
      <c r="H141" s="195">
        <v>0.5</v>
      </c>
      <c r="I141" s="196">
        <v>0.75</v>
      </c>
      <c r="J141" s="195">
        <v>1</v>
      </c>
      <c r="K141" s="197"/>
      <c r="L141" s="154"/>
      <c r="M141" s="155" t="s">
        <v>355</v>
      </c>
      <c r="N141" s="156"/>
      <c r="O141" s="156"/>
      <c r="P141" s="65"/>
      <c r="Q141" s="46"/>
    </row>
    <row r="142" spans="1:17" ht="21" customHeight="1">
      <c r="A142" s="57"/>
      <c r="B142" s="57"/>
      <c r="C142" s="148"/>
      <c r="D142" s="148"/>
      <c r="E142" s="148"/>
      <c r="F142" s="148"/>
      <c r="G142" s="199"/>
      <c r="H142" s="544" t="s">
        <v>399</v>
      </c>
      <c r="I142" s="544" t="s">
        <v>400</v>
      </c>
      <c r="J142" s="544" t="s">
        <v>401</v>
      </c>
      <c r="K142" s="200"/>
      <c r="L142" s="160"/>
      <c r="M142" s="273" t="s">
        <v>402</v>
      </c>
      <c r="N142" s="274"/>
      <c r="O142" s="274"/>
      <c r="P142" s="199"/>
      <c r="Q142" s="202"/>
    </row>
    <row r="143" spans="1:17" ht="13.5" customHeight="1">
      <c r="A143" s="57"/>
      <c r="B143" s="57"/>
      <c r="C143" s="148"/>
      <c r="D143" s="148"/>
      <c r="E143" s="148"/>
      <c r="F143" s="148"/>
      <c r="G143" s="199"/>
      <c r="H143" s="544"/>
      <c r="I143" s="544"/>
      <c r="J143" s="544"/>
      <c r="K143" s="162" t="s">
        <v>304</v>
      </c>
      <c r="L143" s="203" t="s">
        <v>305</v>
      </c>
      <c r="M143" s="238" t="s">
        <v>403</v>
      </c>
      <c r="N143" s="239"/>
      <c r="O143" s="239"/>
      <c r="P143" s="199"/>
      <c r="Q143" s="202"/>
    </row>
    <row r="144" spans="1:17" ht="12">
      <c r="A144" s="192"/>
      <c r="B144" s="545" t="s">
        <v>404</v>
      </c>
      <c r="C144" s="545"/>
      <c r="D144" s="546"/>
      <c r="E144" s="546"/>
      <c r="F144" s="546"/>
      <c r="G144" s="546"/>
      <c r="H144" s="207"/>
      <c r="I144" s="207"/>
      <c r="J144" s="208"/>
      <c r="K144" s="209">
        <f>IF($H$140&gt;=1,$K$150/$H$140,"")</f>
      </c>
      <c r="L144" s="210">
        <f aca="true" t="shared" si="3" ref="L144:L149">IF(OR(AND(EXACT(H144,""),EXACT(I144,""),EXACT(J144,"")),EXACT($H$140,"")),"",IF(NOT(EXACT(J144,"")),IF(NOT(EXACT(K144,"")),K144*$J$141,""),IF(NOT(EXACT(I144,"")),IF(NOT(EXACT(K144,"")),K144*$I$141,""),IF(NOT(EXACT(H144,"")),IF(NOT(EXACT(K144,"")),K144*$H$141,"")))))</f>
      </c>
      <c r="M144" s="238" t="s">
        <v>405</v>
      </c>
      <c r="N144" s="239"/>
      <c r="O144" s="239"/>
      <c r="P144" s="65"/>
      <c r="Q144" s="46"/>
    </row>
    <row r="145" spans="1:17" ht="12">
      <c r="A145" s="192"/>
      <c r="B145" s="545" t="s">
        <v>406</v>
      </c>
      <c r="C145" s="545"/>
      <c r="D145" s="547"/>
      <c r="E145" s="547"/>
      <c r="F145" s="547"/>
      <c r="G145" s="547"/>
      <c r="H145" s="207"/>
      <c r="I145" s="207"/>
      <c r="J145" s="208"/>
      <c r="K145" s="209">
        <f>IF($H$140&gt;=2,$K$150/$H$140,"")</f>
      </c>
      <c r="L145" s="210">
        <f t="shared" si="3"/>
      </c>
      <c r="M145" s="238" t="s">
        <v>407</v>
      </c>
      <c r="N145" s="239"/>
      <c r="O145" s="239"/>
      <c r="P145" s="65"/>
      <c r="Q145" s="46"/>
    </row>
    <row r="146" spans="1:17" ht="12">
      <c r="A146" s="192"/>
      <c r="B146" s="545" t="s">
        <v>408</v>
      </c>
      <c r="C146" s="545"/>
      <c r="D146" s="547"/>
      <c r="E146" s="547"/>
      <c r="F146" s="547"/>
      <c r="G146" s="547"/>
      <c r="H146" s="207"/>
      <c r="I146" s="207"/>
      <c r="J146" s="208"/>
      <c r="K146" s="209">
        <f>IF($H$140&gt;=3,$K$150/$H$140,"")</f>
      </c>
      <c r="L146" s="210">
        <f t="shared" si="3"/>
      </c>
      <c r="M146" s="238" t="s">
        <v>409</v>
      </c>
      <c r="N146" s="239"/>
      <c r="O146" s="239"/>
      <c r="P146" s="65"/>
      <c r="Q146" s="46"/>
    </row>
    <row r="147" spans="1:17" ht="12">
      <c r="A147" s="192"/>
      <c r="B147" s="545" t="s">
        <v>410</v>
      </c>
      <c r="C147" s="545"/>
      <c r="D147" s="547"/>
      <c r="E147" s="547"/>
      <c r="F147" s="547"/>
      <c r="G147" s="547"/>
      <c r="H147" s="207"/>
      <c r="I147" s="207"/>
      <c r="J147" s="208"/>
      <c r="K147" s="209">
        <f>IF($H$140&gt;=4,$K$150/$H$140,"")</f>
      </c>
      <c r="L147" s="210">
        <f t="shared" si="3"/>
      </c>
      <c r="M147" s="192"/>
      <c r="N147" s="46"/>
      <c r="O147" s="46"/>
      <c r="P147" s="65"/>
      <c r="Q147" s="46"/>
    </row>
    <row r="148" spans="1:17" ht="12">
      <c r="A148" s="192"/>
      <c r="B148" s="545" t="s">
        <v>411</v>
      </c>
      <c r="C148" s="545"/>
      <c r="D148" s="547"/>
      <c r="E148" s="547"/>
      <c r="F148" s="547"/>
      <c r="G148" s="547"/>
      <c r="H148" s="207"/>
      <c r="I148" s="207"/>
      <c r="J148" s="208"/>
      <c r="K148" s="209">
        <f>IF($H$140&gt;=5,$K$150/$H$140,"")</f>
      </c>
      <c r="L148" s="210">
        <f t="shared" si="3"/>
      </c>
      <c r="M148" s="192"/>
      <c r="N148" s="46"/>
      <c r="O148" s="46"/>
      <c r="P148" s="65"/>
      <c r="Q148" s="46"/>
    </row>
    <row r="149" spans="1:17" ht="12">
      <c r="A149" s="192"/>
      <c r="B149" s="541" t="s">
        <v>412</v>
      </c>
      <c r="C149" s="541"/>
      <c r="D149" s="542"/>
      <c r="E149" s="542"/>
      <c r="F149" s="542"/>
      <c r="G149" s="542"/>
      <c r="H149" s="207"/>
      <c r="I149" s="207"/>
      <c r="J149" s="208"/>
      <c r="K149" s="209">
        <f>IF($H$140&gt;=6,$K$150/$H$140,"")</f>
      </c>
      <c r="L149" s="210">
        <f t="shared" si="3"/>
      </c>
      <c r="M149" s="192"/>
      <c r="N149" s="46"/>
      <c r="O149" s="46"/>
      <c r="P149" s="65"/>
      <c r="Q149" s="46"/>
    </row>
    <row r="150" spans="1:17" ht="12">
      <c r="A150" s="192"/>
      <c r="B150" s="161"/>
      <c r="C150" s="161"/>
      <c r="D150" s="161"/>
      <c r="E150" s="161"/>
      <c r="F150" s="161"/>
      <c r="G150" s="161"/>
      <c r="H150" s="540" t="s">
        <v>296</v>
      </c>
      <c r="I150" s="540"/>
      <c r="J150" s="540"/>
      <c r="K150" s="171">
        <v>0.13</v>
      </c>
      <c r="L150" s="218">
        <f>IF(EXACT(H140,""),"",IF(H140=0,K150,SUM(L144:L149)))</f>
      </c>
      <c r="M150" s="192"/>
      <c r="N150" s="46"/>
      <c r="O150" s="46"/>
      <c r="P150" s="65"/>
      <c r="Q150" s="46"/>
    </row>
    <row r="151" spans="1:17" ht="13.5" customHeight="1">
      <c r="A151" s="275"/>
      <c r="B151" s="66"/>
      <c r="C151" s="66"/>
      <c r="D151" s="66"/>
      <c r="E151" s="66"/>
      <c r="F151" s="66"/>
      <c r="M151" s="192"/>
      <c r="N151" s="46"/>
      <c r="O151" s="46"/>
      <c r="P151" s="65"/>
      <c r="Q151" s="46"/>
    </row>
    <row r="152" spans="1:17" ht="12">
      <c r="A152" s="221"/>
      <c r="B152" s="222"/>
      <c r="C152" s="222"/>
      <c r="D152" s="222"/>
      <c r="E152" s="222"/>
      <c r="F152" s="222"/>
      <c r="G152" s="223"/>
      <c r="H152" s="151">
        <v>0</v>
      </c>
      <c r="I152" s="152">
        <v>0.75</v>
      </c>
      <c r="J152" s="152">
        <v>1</v>
      </c>
      <c r="K152" s="223"/>
      <c r="L152" s="67"/>
      <c r="M152" s="155" t="s">
        <v>355</v>
      </c>
      <c r="N152" s="156"/>
      <c r="O152" s="156"/>
      <c r="P152" s="65"/>
      <c r="Q152" s="46"/>
    </row>
    <row r="153" spans="1:17" ht="13.5" customHeight="1">
      <c r="A153" s="57"/>
      <c r="B153" s="148"/>
      <c r="C153" s="148"/>
      <c r="D153" s="153"/>
      <c r="E153" s="148"/>
      <c r="F153" s="543"/>
      <c r="G153" s="46"/>
      <c r="H153" s="544" t="s">
        <v>299</v>
      </c>
      <c r="I153" s="544" t="s">
        <v>300</v>
      </c>
      <c r="J153" s="544" t="s">
        <v>301</v>
      </c>
      <c r="K153" s="46"/>
      <c r="L153" s="46"/>
      <c r="M153" s="273" t="s">
        <v>402</v>
      </c>
      <c r="N153" s="274"/>
      <c r="O153" s="274"/>
      <c r="P153" s="199"/>
      <c r="Q153" s="46"/>
    </row>
    <row r="154" spans="1:17" ht="12">
      <c r="A154" s="157" t="s">
        <v>413</v>
      </c>
      <c r="B154" s="148"/>
      <c r="C154" s="148"/>
      <c r="D154" s="158"/>
      <c r="E154" s="159"/>
      <c r="F154" s="543"/>
      <c r="G154" s="161"/>
      <c r="H154" s="544"/>
      <c r="I154" s="544"/>
      <c r="J154" s="544"/>
      <c r="K154" s="162" t="s">
        <v>304</v>
      </c>
      <c r="L154" s="203" t="s">
        <v>305</v>
      </c>
      <c r="M154" s="238" t="s">
        <v>403</v>
      </c>
      <c r="N154" s="239"/>
      <c r="O154" s="239"/>
      <c r="P154" s="199"/>
      <c r="Q154" s="46"/>
    </row>
    <row r="155" spans="1:17" ht="12">
      <c r="A155" s="539" t="s">
        <v>414</v>
      </c>
      <c r="B155" s="539"/>
      <c r="C155" s="539"/>
      <c r="D155" s="539"/>
      <c r="E155" s="539"/>
      <c r="F155" s="539"/>
      <c r="G155" s="539"/>
      <c r="H155" s="208"/>
      <c r="I155" s="208"/>
      <c r="J155" s="208"/>
      <c r="K155" s="224">
        <v>0.04</v>
      </c>
      <c r="L155" s="210">
        <f>IF(AND(EXACT(H155,""),EXACT(I155,""),EXACT(J155,"")),"",IF(NOT(EXACT(J155,"")),IF(NOT(EXACT(K155,"")),K155*$J$152,""),IF(NOT(EXACT(I155,"")),IF(NOT(EXACT(K155,"")),K155*$I$152,""),IF(NOT(EXACT(H155,"")),IF(NOT(EXACT(K155,"")),K155*$H$152,"")))))</f>
      </c>
      <c r="M155" s="238" t="s">
        <v>405</v>
      </c>
      <c r="N155" s="239"/>
      <c r="O155" s="239"/>
      <c r="P155" s="65"/>
      <c r="Q155" s="46"/>
    </row>
    <row r="156" spans="1:17" ht="12">
      <c r="A156" s="539" t="s">
        <v>415</v>
      </c>
      <c r="B156" s="539"/>
      <c r="C156" s="539"/>
      <c r="D156" s="539"/>
      <c r="E156" s="539"/>
      <c r="F156" s="539"/>
      <c r="G156" s="539"/>
      <c r="H156" s="208"/>
      <c r="I156" s="208"/>
      <c r="J156" s="208"/>
      <c r="K156" s="224">
        <v>0.03</v>
      </c>
      <c r="L156" s="210">
        <f>IF(AND(EXACT(H156,""),EXACT(I156,""),EXACT(J156,"")),"",IF(NOT(EXACT(J156,"")),IF(NOT(EXACT(K156,"")),K156*$J$152,""),IF(NOT(EXACT(I156,"")),IF(NOT(EXACT(K156,"")),K156*$I$152,""),IF(NOT(EXACT(H156,"")),IF(NOT(EXACT(K156,"")),K156*$H$152,"")))))</f>
      </c>
      <c r="M156" s="238" t="s">
        <v>407</v>
      </c>
      <c r="N156" s="239"/>
      <c r="O156" s="239"/>
      <c r="P156" s="65"/>
      <c r="Q156" s="48"/>
    </row>
    <row r="157" spans="1:17" ht="12">
      <c r="A157" s="168"/>
      <c r="B157" s="148"/>
      <c r="C157" s="148"/>
      <c r="D157" s="169"/>
      <c r="E157" s="148"/>
      <c r="F157" s="169"/>
      <c r="G157" s="48"/>
      <c r="H157" s="540" t="s">
        <v>296</v>
      </c>
      <c r="I157" s="540"/>
      <c r="J157" s="540"/>
      <c r="K157" s="171">
        <f>SUM(K155:K156)</f>
        <v>0.07</v>
      </c>
      <c r="L157" s="225">
        <f>IF(AND(OR(NOT(EXACT(H155,"")),NOT(EXACT(I155,"")),NOT(EXACT(J155,""))),OR(NOT(EXACT(H156,"")),NOT(EXACT(I156,"")),NOT(EXACT(J156,"")))),SUM(L155:L156),"")</f>
      </c>
      <c r="M157" s="238" t="s">
        <v>409</v>
      </c>
      <c r="N157" s="239"/>
      <c r="O157" s="239"/>
      <c r="P157" s="65"/>
      <c r="Q157" s="48"/>
    </row>
    <row r="158" spans="1:17" ht="13.5" customHeight="1">
      <c r="A158" s="238" t="s">
        <v>416</v>
      </c>
      <c r="B158" s="66"/>
      <c r="C158" s="66"/>
      <c r="D158" s="66"/>
      <c r="E158" s="66"/>
      <c r="F158" s="66"/>
      <c r="M158" s="192"/>
      <c r="N158" s="46"/>
      <c r="O158" s="46"/>
      <c r="P158" s="65"/>
      <c r="Q158" s="46"/>
    </row>
    <row r="159" spans="1:17" ht="12">
      <c r="A159" s="539" t="s">
        <v>417</v>
      </c>
      <c r="B159" s="539"/>
      <c r="C159" s="539"/>
      <c r="D159" s="539"/>
      <c r="E159" s="539"/>
      <c r="F159" s="539"/>
      <c r="G159" s="539"/>
      <c r="H159" s="548"/>
      <c r="I159" s="548"/>
      <c r="J159" s="548"/>
      <c r="K159" s="190"/>
      <c r="L159" s="191"/>
      <c r="M159" s="192"/>
      <c r="N159" s="46"/>
      <c r="O159" s="46"/>
      <c r="P159" s="65"/>
      <c r="Q159" s="46"/>
    </row>
    <row r="160" spans="1:17" ht="12">
      <c r="A160" s="193"/>
      <c r="B160" s="161"/>
      <c r="C160" s="161"/>
      <c r="D160" s="161"/>
      <c r="E160" s="161"/>
      <c r="F160" s="161"/>
      <c r="G160" s="194"/>
      <c r="H160" s="195">
        <v>0</v>
      </c>
      <c r="I160" s="196">
        <v>0.75</v>
      </c>
      <c r="J160" s="195">
        <v>1</v>
      </c>
      <c r="K160" s="197"/>
      <c r="L160" s="154"/>
      <c r="M160" s="155" t="s">
        <v>355</v>
      </c>
      <c r="N160" s="156"/>
      <c r="O160" s="156"/>
      <c r="P160" s="65"/>
      <c r="Q160" s="46"/>
    </row>
    <row r="161" spans="1:17" ht="21" customHeight="1">
      <c r="A161" s="198"/>
      <c r="B161" s="148"/>
      <c r="C161" s="148"/>
      <c r="D161" s="148"/>
      <c r="E161" s="148"/>
      <c r="F161" s="148"/>
      <c r="G161" s="202"/>
      <c r="H161" s="544" t="s">
        <v>418</v>
      </c>
      <c r="I161" s="544" t="s">
        <v>419</v>
      </c>
      <c r="J161" s="544" t="s">
        <v>420</v>
      </c>
      <c r="K161" s="200"/>
      <c r="L161" s="160"/>
      <c r="M161" s="273"/>
      <c r="N161" s="274"/>
      <c r="O161" s="274"/>
      <c r="P161" s="199"/>
      <c r="Q161" s="202"/>
    </row>
    <row r="162" spans="1:17" ht="13.5" customHeight="1">
      <c r="A162" s="198"/>
      <c r="B162" s="148"/>
      <c r="C162" s="148"/>
      <c r="D162" s="148"/>
      <c r="E162" s="148"/>
      <c r="F162" s="148"/>
      <c r="G162" s="202"/>
      <c r="H162" s="544"/>
      <c r="I162" s="544"/>
      <c r="J162" s="544"/>
      <c r="K162" s="162" t="s">
        <v>304</v>
      </c>
      <c r="L162" s="203" t="s">
        <v>305</v>
      </c>
      <c r="M162" s="549" t="s">
        <v>421</v>
      </c>
      <c r="N162" s="549"/>
      <c r="O162" s="549"/>
      <c r="P162" s="549"/>
      <c r="Q162" s="202"/>
    </row>
    <row r="163" spans="1:17" ht="12">
      <c r="A163" s="204"/>
      <c r="B163" s="545" t="s">
        <v>422</v>
      </c>
      <c r="C163" s="545"/>
      <c r="D163" s="546"/>
      <c r="E163" s="546"/>
      <c r="F163" s="546"/>
      <c r="G163" s="546"/>
      <c r="H163" s="207"/>
      <c r="I163" s="207"/>
      <c r="J163" s="208"/>
      <c r="K163" s="209">
        <f>IF($H$159&gt;=1,$K$168/$H$159,"")</f>
      </c>
      <c r="L163" s="210">
        <f>IF(OR(AND(EXACT(H163,""),EXACT(I163,""),EXACT(J163,"")),EXACT($H$159,"")),"",IF(NOT(EXACT(J163,"")),IF(NOT(EXACT(K163,"")),K163*$J$160,""),IF(NOT(EXACT(I163,"")),IF(NOT(EXACT(K163,"")),K163*$I$160,""),IF(NOT(EXACT(H163,"")),IF(NOT(EXACT(K163,"")),K163*$H$160,"")))))</f>
      </c>
      <c r="M163" s="549"/>
      <c r="N163" s="549"/>
      <c r="O163" s="549"/>
      <c r="P163" s="549"/>
      <c r="Q163" s="46"/>
    </row>
    <row r="164" spans="1:17" ht="12">
      <c r="A164" s="204"/>
      <c r="B164" s="545" t="s">
        <v>423</v>
      </c>
      <c r="C164" s="545"/>
      <c r="D164" s="547"/>
      <c r="E164" s="547"/>
      <c r="F164" s="547"/>
      <c r="G164" s="547"/>
      <c r="H164" s="207"/>
      <c r="I164" s="207"/>
      <c r="J164" s="208"/>
      <c r="K164" s="209">
        <f>IF($H$159&gt;=2,$K$168/$H$159,"")</f>
      </c>
      <c r="L164" s="210">
        <f>IF(OR(AND(EXACT(H164,""),EXACT(I164,""),EXACT(J164,"")),EXACT($H$159,"")),"",IF(NOT(EXACT(J164,"")),IF(NOT(EXACT(K164,"")),K164*$J$160,""),IF(NOT(EXACT(I164,"")),IF(NOT(EXACT(K164,"")),K164*$I$160,""),IF(NOT(EXACT(H164,"")),IF(NOT(EXACT(K164,"")),K164*$H$160,"")))))</f>
      </c>
      <c r="M164" s="549"/>
      <c r="N164" s="549"/>
      <c r="O164" s="549"/>
      <c r="P164" s="549"/>
      <c r="Q164" s="46"/>
    </row>
    <row r="165" spans="1:17" ht="12">
      <c r="A165" s="204"/>
      <c r="B165" s="545" t="s">
        <v>424</v>
      </c>
      <c r="C165" s="545"/>
      <c r="D165" s="547"/>
      <c r="E165" s="547"/>
      <c r="F165" s="547"/>
      <c r="G165" s="547"/>
      <c r="H165" s="207"/>
      <c r="I165" s="207"/>
      <c r="J165" s="208"/>
      <c r="K165" s="209">
        <f>IF($H$159&gt;=3,$K$168/$H$159,"")</f>
      </c>
      <c r="L165" s="210">
        <f>IF(OR(AND(EXACT(H165,""),EXACT(I165,""),EXACT(J165,"")),EXACT($H$159,"")),"",IF(NOT(EXACT(J165,"")),IF(NOT(EXACT(K165,"")),K165*$J$160,""),IF(NOT(EXACT(I165,"")),IF(NOT(EXACT(K165,"")),K165*$I$160,""),IF(NOT(EXACT(H165,"")),IF(NOT(EXACT(K165,"")),K165*$H$160,"")))))</f>
      </c>
      <c r="M165" s="549"/>
      <c r="N165" s="549"/>
      <c r="O165" s="549"/>
      <c r="P165" s="549"/>
      <c r="Q165" s="46"/>
    </row>
    <row r="166" spans="1:17" ht="12">
      <c r="A166" s="204"/>
      <c r="B166" s="545" t="s">
        <v>425</v>
      </c>
      <c r="C166" s="545"/>
      <c r="D166" s="547"/>
      <c r="E166" s="547"/>
      <c r="F166" s="547"/>
      <c r="G166" s="547"/>
      <c r="H166" s="207"/>
      <c r="I166" s="207"/>
      <c r="J166" s="208"/>
      <c r="K166" s="209">
        <f>IF($H$159&gt;=4,$K$168/$H$159,"")</f>
      </c>
      <c r="L166" s="210">
        <f>IF(OR(AND(EXACT(H166,""),EXACT(I166,""),EXACT(J166,"")),EXACT($H$159,"")),"",IF(NOT(EXACT(J166,"")),IF(NOT(EXACT(K166,"")),K166*$J$160,""),IF(NOT(EXACT(I166,"")),IF(NOT(EXACT(K166,"")),K166*$I$160,""),IF(NOT(EXACT(H166,"")),IF(NOT(EXACT(K166,"")),K166*$H$160,"")))))</f>
      </c>
      <c r="M166" s="549"/>
      <c r="N166" s="549"/>
      <c r="O166" s="549"/>
      <c r="P166" s="549"/>
      <c r="Q166" s="46"/>
    </row>
    <row r="167" spans="1:17" ht="12">
      <c r="A167" s="204"/>
      <c r="B167" s="541" t="s">
        <v>426</v>
      </c>
      <c r="C167" s="541"/>
      <c r="D167" s="542"/>
      <c r="E167" s="542"/>
      <c r="F167" s="542"/>
      <c r="G167" s="542"/>
      <c r="H167" s="207"/>
      <c r="I167" s="207"/>
      <c r="J167" s="208"/>
      <c r="K167" s="209">
        <f>IF($H$159&gt;=5,$K$168/$H$159,"")</f>
      </c>
      <c r="L167" s="210">
        <f>IF(OR(AND(EXACT(H167,""),EXACT(I167,""),EXACT(J167,"")),EXACT($H$159,"")),"",IF(NOT(EXACT(J167,"")),IF(NOT(EXACT(K167,"")),K167*$J$160,""),IF(NOT(EXACT(I167,"")),IF(NOT(EXACT(K167,"")),K167*$I$160,""),IF(NOT(EXACT(H167,"")),IF(NOT(EXACT(K167,"")),K167*$H$160,"")))))</f>
      </c>
      <c r="M167" s="549"/>
      <c r="N167" s="549"/>
      <c r="O167" s="549"/>
      <c r="P167" s="549"/>
      <c r="Q167" s="46"/>
    </row>
    <row r="168" spans="1:17" ht="12">
      <c r="A168" s="192"/>
      <c r="B168" s="161"/>
      <c r="C168" s="161"/>
      <c r="D168" s="161"/>
      <c r="E168" s="161"/>
      <c r="F168" s="161"/>
      <c r="G168" s="161"/>
      <c r="H168" s="540" t="s">
        <v>296</v>
      </c>
      <c r="I168" s="540"/>
      <c r="J168" s="540"/>
      <c r="K168" s="171">
        <v>0.1</v>
      </c>
      <c r="L168" s="218">
        <f>IF(EXACT(H159,""),"",IF(H159=0,K168,SUM(L163:L167)))</f>
      </c>
      <c r="M168" s="549"/>
      <c r="N168" s="549"/>
      <c r="O168" s="549"/>
      <c r="P168" s="549"/>
      <c r="Q168" s="46"/>
    </row>
    <row r="169" spans="1:17" ht="12">
      <c r="A169" s="219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219"/>
      <c r="N169" s="175"/>
      <c r="O169" s="175"/>
      <c r="P169" s="68"/>
      <c r="Q169" s="46"/>
    </row>
    <row r="170" spans="1:17" ht="1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</row>
    <row r="171" spans="1:17" ht="15">
      <c r="A171" s="266" t="s">
        <v>427</v>
      </c>
      <c r="B171" s="267"/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7" t="s">
        <v>296</v>
      </c>
      <c r="N171" s="268">
        <f>IF(AND(NOT(EXACT(H175,"")),NOT(EXACT(H176,""))),P171,IF(AND(NOT(EXACT(L181,"")),NOT(EXACT(L186,""))),(L181+L186)*100,IF(AND(EXACT(L181,""),NOT(EXACT(L186,""))),L186*100,IF(AND(NOT(EXACT(L181,"")),EXACT(L186,"")),L181*100,0))))</f>
        <v>0</v>
      </c>
      <c r="O171" s="267" t="s">
        <v>297</v>
      </c>
      <c r="P171" s="269">
        <v>40</v>
      </c>
      <c r="Q171" s="180"/>
    </row>
    <row r="172" spans="1:17" ht="15">
      <c r="A172" s="181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3" t="s">
        <v>298</v>
      </c>
      <c r="N172" s="184"/>
      <c r="O172" s="184"/>
      <c r="P172" s="185"/>
      <c r="Q172" s="180"/>
    </row>
    <row r="173" spans="1:17" ht="12.75" customHeight="1">
      <c r="A173" s="57"/>
      <c r="B173" s="148"/>
      <c r="C173" s="148"/>
      <c r="D173" s="153"/>
      <c r="E173" s="148"/>
      <c r="F173" s="543"/>
      <c r="G173" s="46"/>
      <c r="H173" s="544" t="s">
        <v>299</v>
      </c>
      <c r="I173" s="544" t="s">
        <v>301</v>
      </c>
      <c r="J173" s="544"/>
      <c r="K173" s="276"/>
      <c r="L173" s="277"/>
      <c r="M173" s="46"/>
      <c r="N173" s="46"/>
      <c r="O173" s="46"/>
      <c r="P173" s="65"/>
      <c r="Q173" s="46"/>
    </row>
    <row r="174" spans="1:17" ht="12">
      <c r="A174" s="157" t="s">
        <v>428</v>
      </c>
      <c r="B174" s="148"/>
      <c r="C174" s="148"/>
      <c r="D174" s="158"/>
      <c r="E174" s="159"/>
      <c r="F174" s="543"/>
      <c r="G174" s="161"/>
      <c r="H174" s="544"/>
      <c r="I174" s="544"/>
      <c r="J174" s="544"/>
      <c r="K174" s="162"/>
      <c r="L174" s="163"/>
      <c r="M174" s="46"/>
      <c r="N174" s="46"/>
      <c r="O174" s="46"/>
      <c r="P174" s="65"/>
      <c r="Q174" s="46"/>
    </row>
    <row r="175" spans="1:17" ht="12">
      <c r="A175" s="539" t="s">
        <v>429</v>
      </c>
      <c r="B175" s="539"/>
      <c r="C175" s="539"/>
      <c r="D175" s="539"/>
      <c r="E175" s="539"/>
      <c r="F175" s="539"/>
      <c r="G175" s="539"/>
      <c r="H175" s="208"/>
      <c r="I175" s="208"/>
      <c r="J175" s="170"/>
      <c r="K175" s="224"/>
      <c r="L175" s="224"/>
      <c r="M175" s="46"/>
      <c r="N175" s="46"/>
      <c r="O175" s="46"/>
      <c r="P175" s="65"/>
      <c r="Q175" s="46"/>
    </row>
    <row r="176" spans="1:17" ht="12">
      <c r="A176" s="539" t="s">
        <v>430</v>
      </c>
      <c r="B176" s="539"/>
      <c r="C176" s="539"/>
      <c r="D176" s="539"/>
      <c r="E176" s="539"/>
      <c r="F176" s="539"/>
      <c r="G176" s="539"/>
      <c r="H176" s="208"/>
      <c r="I176" s="208"/>
      <c r="J176" s="170"/>
      <c r="K176" s="224"/>
      <c r="L176" s="224"/>
      <c r="M176" s="46"/>
      <c r="N176" s="46"/>
      <c r="O176" s="46"/>
      <c r="P176" s="65"/>
      <c r="Q176" s="46"/>
    </row>
    <row r="177" spans="1:17" ht="12">
      <c r="A177" s="192"/>
      <c r="B177" s="161"/>
      <c r="C177" s="161"/>
      <c r="D177" s="161"/>
      <c r="E177" s="161"/>
      <c r="F177" s="161"/>
      <c r="G177" s="161"/>
      <c r="H177" s="253"/>
      <c r="I177" s="253"/>
      <c r="J177" s="253"/>
      <c r="K177" s="278"/>
      <c r="L177" s="279"/>
      <c r="M177" s="46"/>
      <c r="N177" s="46"/>
      <c r="O177" s="46"/>
      <c r="P177" s="65"/>
      <c r="Q177" s="46"/>
    </row>
    <row r="178" spans="1:17" ht="12">
      <c r="A178" s="221"/>
      <c r="B178" s="222"/>
      <c r="C178" s="222"/>
      <c r="D178" s="222"/>
      <c r="E178" s="222"/>
      <c r="F178" s="222"/>
      <c r="G178" s="223"/>
      <c r="H178" s="151">
        <v>0</v>
      </c>
      <c r="I178" s="152">
        <v>0.25</v>
      </c>
      <c r="J178" s="151">
        <v>1</v>
      </c>
      <c r="K178" s="223"/>
      <c r="L178" s="67"/>
      <c r="M178" s="46"/>
      <c r="N178" s="46"/>
      <c r="O178" s="46"/>
      <c r="P178" s="65"/>
      <c r="Q178" s="46"/>
    </row>
    <row r="179" spans="1:17" ht="39.75" customHeight="1">
      <c r="A179" s="157" t="s">
        <v>431</v>
      </c>
      <c r="B179" s="148"/>
      <c r="C179" s="148"/>
      <c r="D179" s="148"/>
      <c r="E179" s="148"/>
      <c r="F179" s="148"/>
      <c r="G179" s="161"/>
      <c r="H179" s="229" t="s">
        <v>432</v>
      </c>
      <c r="I179" s="229" t="s">
        <v>433</v>
      </c>
      <c r="J179" s="229" t="s">
        <v>434</v>
      </c>
      <c r="K179" s="162" t="s">
        <v>304</v>
      </c>
      <c r="L179" s="163" t="s">
        <v>305</v>
      </c>
      <c r="M179" s="46"/>
      <c r="N179" s="46"/>
      <c r="O179" s="46"/>
      <c r="P179" s="65"/>
      <c r="Q179" s="46"/>
    </row>
    <row r="180" spans="1:17" ht="12">
      <c r="A180" s="539" t="s">
        <v>435</v>
      </c>
      <c r="B180" s="539"/>
      <c r="C180" s="539"/>
      <c r="D180" s="539"/>
      <c r="E180" s="539"/>
      <c r="F180" s="539"/>
      <c r="G180" s="539"/>
      <c r="H180" s="208"/>
      <c r="I180" s="166"/>
      <c r="J180" s="166"/>
      <c r="K180" s="167"/>
      <c r="L180" s="167"/>
      <c r="M180" s="46"/>
      <c r="N180" s="46"/>
      <c r="O180" s="46"/>
      <c r="P180" s="65"/>
      <c r="Q180" s="46"/>
    </row>
    <row r="181" spans="1:17" ht="12">
      <c r="A181" s="221"/>
      <c r="B181" s="222"/>
      <c r="C181" s="222"/>
      <c r="D181" s="222"/>
      <c r="E181" s="222"/>
      <c r="F181" s="222"/>
      <c r="G181" s="67"/>
      <c r="H181" s="540" t="s">
        <v>296</v>
      </c>
      <c r="I181" s="540"/>
      <c r="J181" s="540"/>
      <c r="K181" s="280" t="str">
        <f>IF(AND(NOT(EXACT(I175,"")),NOT(EXACT(I176,""))),P171/2/100,IF(AND(NOT(EXACT(I175,"")),EXACT(H175,"")),P171/100,"0%"))</f>
        <v>0%</v>
      </c>
      <c r="L181" s="230">
        <f>IF(AND(EXACT(H180,""),EXACT(I180,""),EXACT(J180,"")),"",IF(NOT(EXACT(J180,"")),IF(NOT(EXACT(K181,"")),K181*J178,""),IF(NOT(EXACT(I180,"")),IF(NOT(EXACT(K181,"")),K181*I178,""),IF(NOT(EXACT(H180,"")),IF(NOT(EXACT(K181,"")),K181*H178,"")))))</f>
      </c>
      <c r="M181" s="46"/>
      <c r="N181" s="46"/>
      <c r="O181" s="46"/>
      <c r="P181" s="65"/>
      <c r="Q181" s="46"/>
    </row>
    <row r="182" spans="1:17" ht="12">
      <c r="A182" s="168"/>
      <c r="B182" s="148"/>
      <c r="C182" s="148"/>
      <c r="D182" s="169"/>
      <c r="E182" s="148"/>
      <c r="F182" s="169"/>
      <c r="G182" s="48"/>
      <c r="H182" s="226"/>
      <c r="I182" s="226"/>
      <c r="J182" s="226"/>
      <c r="K182" s="281"/>
      <c r="L182" s="282"/>
      <c r="M182" s="46"/>
      <c r="N182" s="46"/>
      <c r="O182" s="46"/>
      <c r="P182" s="65"/>
      <c r="Q182" s="46"/>
    </row>
    <row r="183" spans="1:17" ht="13.5" customHeight="1">
      <c r="A183" s="221"/>
      <c r="B183" s="222"/>
      <c r="C183" s="222"/>
      <c r="D183" s="222"/>
      <c r="E183" s="222"/>
      <c r="F183" s="222"/>
      <c r="G183" s="223"/>
      <c r="H183" s="151">
        <v>0</v>
      </c>
      <c r="I183" s="152">
        <v>0.25</v>
      </c>
      <c r="J183" s="151">
        <v>1</v>
      </c>
      <c r="K183" s="223"/>
      <c r="L183" s="67"/>
      <c r="P183" s="65"/>
      <c r="Q183" s="46"/>
    </row>
    <row r="184" spans="1:17" ht="40.5" customHeight="1">
      <c r="A184" s="157" t="s">
        <v>436</v>
      </c>
      <c r="B184" s="148"/>
      <c r="C184" s="148"/>
      <c r="D184" s="148"/>
      <c r="E184" s="148"/>
      <c r="F184" s="148"/>
      <c r="G184" s="161"/>
      <c r="H184" s="229" t="s">
        <v>432</v>
      </c>
      <c r="I184" s="229" t="s">
        <v>433</v>
      </c>
      <c r="J184" s="229" t="s">
        <v>434</v>
      </c>
      <c r="K184" s="162" t="s">
        <v>304</v>
      </c>
      <c r="L184" s="163" t="s">
        <v>305</v>
      </c>
      <c r="P184" s="65"/>
      <c r="Q184" s="46"/>
    </row>
    <row r="185" spans="1:17" ht="13.5" customHeight="1">
      <c r="A185" s="539" t="s">
        <v>437</v>
      </c>
      <c r="B185" s="539"/>
      <c r="C185" s="539"/>
      <c r="D185" s="539"/>
      <c r="E185" s="539"/>
      <c r="F185" s="539"/>
      <c r="G185" s="539"/>
      <c r="H185" s="208"/>
      <c r="I185" s="166"/>
      <c r="J185" s="166"/>
      <c r="K185" s="167"/>
      <c r="L185" s="167"/>
      <c r="P185" s="65"/>
      <c r="Q185" s="46"/>
    </row>
    <row r="186" spans="1:17" ht="13.5" customHeight="1">
      <c r="A186" s="221"/>
      <c r="B186" s="222"/>
      <c r="C186" s="222"/>
      <c r="D186" s="222"/>
      <c r="E186" s="222"/>
      <c r="F186" s="222"/>
      <c r="G186" s="67"/>
      <c r="H186" s="540" t="s">
        <v>296</v>
      </c>
      <c r="I186" s="540"/>
      <c r="J186" s="540"/>
      <c r="K186" s="280" t="str">
        <f>IF(AND(NOT(EXACT(I175,"")),NOT(EXACT(I176,""))),P171/2/100,IF(AND(NOT(EXACT(I176,"")),EXACT(H176,"")),P171/100,"0%"))</f>
        <v>0%</v>
      </c>
      <c r="L186" s="230">
        <f>IF(AND(EXACT(H185,""),EXACT(I185,""),EXACT(J185,"")),"",IF(NOT(EXACT(J185,"")),IF(NOT(EXACT(K186,"")),K186*J183,""),IF(NOT(EXACT(I185,"")),IF(NOT(EXACT(K186,"")),K186*I183,""),IF(NOT(EXACT(H185,"")),IF(NOT(EXACT(K186,"")),K186*H183,"")))))</f>
      </c>
      <c r="P186" s="65"/>
      <c r="Q186" s="46"/>
    </row>
    <row r="187" spans="1:17" ht="13.5" customHeight="1">
      <c r="A187" s="214"/>
      <c r="B187" s="159"/>
      <c r="C187" s="159"/>
      <c r="D187" s="283"/>
      <c r="E187" s="159"/>
      <c r="F187" s="283"/>
      <c r="G187" s="284"/>
      <c r="H187" s="285"/>
      <c r="I187" s="285"/>
      <c r="J187" s="285"/>
      <c r="K187" s="286"/>
      <c r="L187" s="287"/>
      <c r="M187" s="175"/>
      <c r="N187" s="175"/>
      <c r="O187" s="175"/>
      <c r="P187" s="68"/>
      <c r="Q187" s="46"/>
    </row>
    <row r="191" ht="12">
      <c r="S191" s="288"/>
    </row>
  </sheetData>
  <sheetProtection password="DD05" sheet="1" objects="1" scenarios="1"/>
  <mergeCells count="159">
    <mergeCell ref="A8:C8"/>
    <mergeCell ref="D8:G8"/>
    <mergeCell ref="H8:M8"/>
    <mergeCell ref="C9:M9"/>
    <mergeCell ref="A2:Q2"/>
    <mergeCell ref="A4:Q4"/>
    <mergeCell ref="A6:C6"/>
    <mergeCell ref="D6:G6"/>
    <mergeCell ref="H6:M6"/>
    <mergeCell ref="N6:P6"/>
    <mergeCell ref="H29:J29"/>
    <mergeCell ref="A11:B11"/>
    <mergeCell ref="G11:K11"/>
    <mergeCell ref="A12:B12"/>
    <mergeCell ref="G12:K12"/>
    <mergeCell ref="A13:B13"/>
    <mergeCell ref="G13:K13"/>
    <mergeCell ref="A14:B14"/>
    <mergeCell ref="G14:K14"/>
    <mergeCell ref="H22:H23"/>
    <mergeCell ref="I22:I23"/>
    <mergeCell ref="J22:J23"/>
    <mergeCell ref="M23:P24"/>
    <mergeCell ref="A24:G24"/>
    <mergeCell ref="H25:J25"/>
    <mergeCell ref="M25:P26"/>
    <mergeCell ref="I40:I41"/>
    <mergeCell ref="J40:J41"/>
    <mergeCell ref="H31:H32"/>
    <mergeCell ref="I31:I32"/>
    <mergeCell ref="J31:J32"/>
    <mergeCell ref="D33:G33"/>
    <mergeCell ref="D34:G34"/>
    <mergeCell ref="D35:G35"/>
    <mergeCell ref="D36:G36"/>
    <mergeCell ref="H37:J37"/>
    <mergeCell ref="I57:I58"/>
    <mergeCell ref="J57:J58"/>
    <mergeCell ref="M41:P48"/>
    <mergeCell ref="A42:G42"/>
    <mergeCell ref="A43:G43"/>
    <mergeCell ref="A44:G44"/>
    <mergeCell ref="A45:G45"/>
    <mergeCell ref="H46:J46"/>
    <mergeCell ref="F40:F41"/>
    <mergeCell ref="H40:H41"/>
    <mergeCell ref="H64:J64"/>
    <mergeCell ref="A68:G68"/>
    <mergeCell ref="H69:J69"/>
    <mergeCell ref="A73:G73"/>
    <mergeCell ref="A50:G50"/>
    <mergeCell ref="M50:P52"/>
    <mergeCell ref="A51:G51"/>
    <mergeCell ref="H52:J52"/>
    <mergeCell ref="F57:F58"/>
    <mergeCell ref="H57:H58"/>
    <mergeCell ref="M82:P87"/>
    <mergeCell ref="A83:G83"/>
    <mergeCell ref="A84:G84"/>
    <mergeCell ref="H85:J85"/>
    <mergeCell ref="A59:C59"/>
    <mergeCell ref="M59:P63"/>
    <mergeCell ref="A60:C60"/>
    <mergeCell ref="A61:C61"/>
    <mergeCell ref="A62:C62"/>
    <mergeCell ref="A63:C63"/>
    <mergeCell ref="H74:J74"/>
    <mergeCell ref="F80:F81"/>
    <mergeCell ref="H80:H81"/>
    <mergeCell ref="I80:I81"/>
    <mergeCell ref="J80:J81"/>
    <mergeCell ref="A82:G82"/>
    <mergeCell ref="A89:G89"/>
    <mergeCell ref="H90:J90"/>
    <mergeCell ref="A94:G94"/>
    <mergeCell ref="H95:J95"/>
    <mergeCell ref="A102:G102"/>
    <mergeCell ref="A103:G103"/>
    <mergeCell ref="H111:H112"/>
    <mergeCell ref="I111:I112"/>
    <mergeCell ref="J111:J112"/>
    <mergeCell ref="A113:G113"/>
    <mergeCell ref="M103:P105"/>
    <mergeCell ref="A104:G104"/>
    <mergeCell ref="H105:J105"/>
    <mergeCell ref="A114:G114"/>
    <mergeCell ref="H115:J115"/>
    <mergeCell ref="A117:G117"/>
    <mergeCell ref="H117:J117"/>
    <mergeCell ref="H119:H120"/>
    <mergeCell ref="I119:I120"/>
    <mergeCell ref="C122:G122"/>
    <mergeCell ref="C123:G123"/>
    <mergeCell ref="C124:G124"/>
    <mergeCell ref="C125:G125"/>
    <mergeCell ref="J119:J120"/>
    <mergeCell ref="D121:G121"/>
    <mergeCell ref="C126:G126"/>
    <mergeCell ref="C127:G127"/>
    <mergeCell ref="D128:G128"/>
    <mergeCell ref="C129:G129"/>
    <mergeCell ref="M132:P135"/>
    <mergeCell ref="C133:G133"/>
    <mergeCell ref="C134:G134"/>
    <mergeCell ref="H135:J135"/>
    <mergeCell ref="C130:G130"/>
    <mergeCell ref="C131:G131"/>
    <mergeCell ref="C132:G132"/>
    <mergeCell ref="B146:C146"/>
    <mergeCell ref="D146:G146"/>
    <mergeCell ref="H140:J140"/>
    <mergeCell ref="H142:H143"/>
    <mergeCell ref="I142:I143"/>
    <mergeCell ref="J142:J143"/>
    <mergeCell ref="B147:C147"/>
    <mergeCell ref="D147:G147"/>
    <mergeCell ref="B144:C144"/>
    <mergeCell ref="D144:G144"/>
    <mergeCell ref="B145:C145"/>
    <mergeCell ref="D145:G145"/>
    <mergeCell ref="M162:P168"/>
    <mergeCell ref="B148:C148"/>
    <mergeCell ref="D148:G148"/>
    <mergeCell ref="B149:C149"/>
    <mergeCell ref="D149:G149"/>
    <mergeCell ref="H150:J150"/>
    <mergeCell ref="F153:F154"/>
    <mergeCell ref="H153:H154"/>
    <mergeCell ref="I153:I154"/>
    <mergeCell ref="J153:J154"/>
    <mergeCell ref="B166:C166"/>
    <mergeCell ref="D166:G166"/>
    <mergeCell ref="A155:G155"/>
    <mergeCell ref="A156:G156"/>
    <mergeCell ref="H157:J157"/>
    <mergeCell ref="A159:G159"/>
    <mergeCell ref="H159:J159"/>
    <mergeCell ref="H161:H162"/>
    <mergeCell ref="I161:I162"/>
    <mergeCell ref="J161:J162"/>
    <mergeCell ref="B163:C163"/>
    <mergeCell ref="D163:G163"/>
    <mergeCell ref="B164:C164"/>
    <mergeCell ref="D164:G164"/>
    <mergeCell ref="B165:C165"/>
    <mergeCell ref="D165:G165"/>
    <mergeCell ref="B167:C167"/>
    <mergeCell ref="D167:G167"/>
    <mergeCell ref="H168:J168"/>
    <mergeCell ref="F173:F174"/>
    <mergeCell ref="H173:H174"/>
    <mergeCell ref="I173:I174"/>
    <mergeCell ref="J173:J174"/>
    <mergeCell ref="A185:G185"/>
    <mergeCell ref="H186:J186"/>
    <mergeCell ref="A175:G175"/>
    <mergeCell ref="A176:G176"/>
    <mergeCell ref="A180:G180"/>
    <mergeCell ref="H181:J181"/>
  </mergeCells>
  <conditionalFormatting sqref="H42:J45 H50:J51 H59:J63 H82:J84 H113:J114 H116:J116 H121:J121 H155:J156 H175:I176 L59:L63 L116 L121">
    <cfRule type="expression" priority="1" dxfId="3" stopIfTrue="1">
      <formula>NOT(EXACT('4a-Avancement_minif'!$D42,""))</formula>
    </cfRule>
  </conditionalFormatting>
  <conditionalFormatting sqref="L42:L45 L50:L51 L82:L84 L102:L104 L113:L114 L155:L156">
    <cfRule type="expression" priority="2" dxfId="3" stopIfTrue="1">
      <formula>OR(NOT(EXACT('4a-Avancement_minif'!#REF!,"")),NOT(EXACT('4a-Avancement_minif'!#REF!,"")),NOT(EXACT('4a-Avancement_minif'!#REF!,"")))</formula>
    </cfRule>
  </conditionalFormatting>
  <conditionalFormatting sqref="L115 L157">
    <cfRule type="expression" priority="3" dxfId="3" stopIfTrue="1">
      <formula>AND(OR(NOT(EXACT('4a-Avancement_minif'!#REF!,"")),NOT(EXACT('4a-Avancement_minif'!#REF!,"")),NOT(EXACT('4a-Avancement_minif'!#REF!,""))),OR(NOT(EXACT('4a-Avancement_minif'!#REF!,"")),NOT(EXACT('4a-Avancement_minif'!#REF!,"")),NOT(EXACT('4a-Avancement_minif'!#REF!,""))))</formula>
    </cfRule>
  </conditionalFormatting>
  <conditionalFormatting sqref="L25 L69 L74 L90 L95">
    <cfRule type="expression" priority="4" dxfId="3" stopIfTrue="1">
      <formula>OR(NOT(EXACT('4a-Avancement_minif'!#REF!,"")),NOT(EXACT('4a-Avancement_minif'!#REF!,"")),NOT(EXACT('4a-Avancement_minif'!#REF!,"")))</formula>
    </cfRule>
  </conditionalFormatting>
  <conditionalFormatting sqref="L46 L52">
    <cfRule type="expression" priority="5" dxfId="3" stopIfTrue="1">
      <formula>AND(OR(NOT(EXACT('4a-Avancement_minif'!#REF!,"")),NOT(EXACT('4a-Avancement_minif'!#REF!,"")),NOT(EXACT('4a-Avancement_minif'!#REF!,""))),OR(NOT(EXACT('4a-Avancement_minif'!#REF!,"")),NOT(EXACT('4a-Avancement_minif'!#REF!,"")),NOT(EXACT('4a-Avancement_minif'!#REF!,""))),OR(NOT(EXACT('4a-Avancement_minif'!#REF!,"")),NOT(EXACT('4a-Avancement_minif'!#REF!,"")),NOT(EXACT('4a-Avancement_minif'!#REF!,""))))</formula>
    </cfRule>
  </conditionalFormatting>
  <conditionalFormatting sqref="L105">
    <cfRule type="expression" priority="6" dxfId="3" stopIfTrue="1">
      <formula>AND(NOT(EXACT('4a-Avancement_minif'!#REF!,"")),NOT(EXACT('4a-Avancement_minif'!#REF!,"")),NOT(EXACT('4a-Avancement_minif'!#REF!,"")),NOT(EXACT('4a-Avancement_minif'!#REF!,"")))</formula>
    </cfRule>
  </conditionalFormatting>
  <conditionalFormatting sqref="L64">
    <cfRule type="expression" priority="7" dxfId="3" stopIfTrue="1">
      <formula>AND(NOT(EXACT('4a-Avancement_minif'!$L$59,"")),NOT(EXACT('4a-Avancement_minif'!$L$60,"")),NOT(EXACT('4a-Avancement_minif'!$L$61,"")),NOT(EXACT('4a-Avancement_minif'!$L$62,"")),NOT(EXACT('4a-Avancement_minif'!$L$63,"")))</formula>
    </cfRule>
  </conditionalFormatting>
  <conditionalFormatting sqref="B144 D144">
    <cfRule type="expression" priority="8" dxfId="3" stopIfTrue="1">
      <formula>AND(NOT(EXACT('4a-Avancement_minif'!$H$140,"")),'4a-Avancement_minif'!$H$140&lt;1)</formula>
    </cfRule>
  </conditionalFormatting>
  <conditionalFormatting sqref="B145 D145 D163">
    <cfRule type="expression" priority="9" dxfId="3" stopIfTrue="1">
      <formula>AND(NOT(EXACT('4a-Avancement_minif'!$H$140,"")),'4a-Avancement_minif'!$H$140&lt;2)</formula>
    </cfRule>
  </conditionalFormatting>
  <conditionalFormatting sqref="B146 D146 D164">
    <cfRule type="expression" priority="10" dxfId="3" stopIfTrue="1">
      <formula>AND(NOT(EXACT('4a-Avancement_minif'!$H$140,"")),'4a-Avancement_minif'!$H$140&lt;3)</formula>
    </cfRule>
  </conditionalFormatting>
  <conditionalFormatting sqref="B147 D147 D165">
    <cfRule type="expression" priority="11" dxfId="3" stopIfTrue="1">
      <formula>AND(NOT(EXACT('4a-Avancement_minif'!$H$140,"")),'4a-Avancement_minif'!$H$140&lt;4)</formula>
    </cfRule>
  </conditionalFormatting>
  <conditionalFormatting sqref="B148 D148 D166">
    <cfRule type="expression" priority="12" dxfId="3" stopIfTrue="1">
      <formula>AND(NOT(EXACT('4a-Avancement_minif'!$H$140,"")),'4a-Avancement_minif'!$H$140&lt;5)</formula>
    </cfRule>
  </conditionalFormatting>
  <conditionalFormatting sqref="B149 D149 D167">
    <cfRule type="expression" priority="13" dxfId="3" stopIfTrue="1">
      <formula>AND(NOT(EXACT('4a-Avancement_minif'!$H$140,"")),'4a-Avancement_minif'!$H$140&lt;6)</formula>
    </cfRule>
  </conditionalFormatting>
  <conditionalFormatting sqref="H144:J144">
    <cfRule type="expression" priority="14" dxfId="27" stopIfTrue="1">
      <formula>AND(NOT(EXACT('4a-Avancement_minif'!$H$140,"")),'4a-Avancement_minif'!$H$140&lt;1)</formula>
    </cfRule>
  </conditionalFormatting>
  <conditionalFormatting sqref="H145:J145">
    <cfRule type="expression" priority="15" dxfId="27" stopIfTrue="1">
      <formula>AND(NOT(EXACT('4a-Avancement_minif'!$H$140,"")),'4a-Avancement_minif'!$H$140&lt;2)</formula>
    </cfRule>
  </conditionalFormatting>
  <conditionalFormatting sqref="H146:J146">
    <cfRule type="expression" priority="16" dxfId="27" stopIfTrue="1">
      <formula>AND(NOT(EXACT('4a-Avancement_minif'!$H$140,"")),'4a-Avancement_minif'!$H$140&lt;3)</formula>
    </cfRule>
  </conditionalFormatting>
  <conditionalFormatting sqref="H147:J147">
    <cfRule type="expression" priority="17" dxfId="27" stopIfTrue="1">
      <formula>AND(NOT(EXACT('4a-Avancement_minif'!$H$140,"")),'4a-Avancement_minif'!$H$140&lt;4)</formula>
    </cfRule>
  </conditionalFormatting>
  <conditionalFormatting sqref="H148:J148">
    <cfRule type="expression" priority="18" dxfId="27" stopIfTrue="1">
      <formula>AND(NOT(EXACT('4a-Avancement_minif'!$H$140,"")),'4a-Avancement_minif'!$H$140&lt;5)</formula>
    </cfRule>
  </conditionalFormatting>
  <conditionalFormatting sqref="H149:J149">
    <cfRule type="expression" priority="19" dxfId="27" stopIfTrue="1">
      <formula>AND(NOT(EXACT('4a-Avancement_minif'!$H$140,"")),'4a-Avancement_minif'!$H$140&lt;6)</formula>
    </cfRule>
  </conditionalFormatting>
  <conditionalFormatting sqref="K144:L149 L150">
    <cfRule type="expression" priority="20" dxfId="3" stopIfTrue="1">
      <formula>NOT(EXACT('4a-Avancement_minif'!$H$140,""))</formula>
    </cfRule>
  </conditionalFormatting>
  <conditionalFormatting sqref="B163">
    <cfRule type="expression" priority="21" dxfId="3" stopIfTrue="1">
      <formula>AND(NOT(EXACT('4a-Avancement_minif'!$H$159,"")),'4a-Avancement_minif'!$H$159&lt;1)</formula>
    </cfRule>
  </conditionalFormatting>
  <conditionalFormatting sqref="B164">
    <cfRule type="expression" priority="22" dxfId="3" stopIfTrue="1">
      <formula>AND(NOT(EXACT('4a-Avancement_minif'!$H$159,"")),'4a-Avancement_minif'!$H$159&lt;2)</formula>
    </cfRule>
  </conditionalFormatting>
  <conditionalFormatting sqref="B166">
    <cfRule type="expression" priority="23" dxfId="3" stopIfTrue="1">
      <formula>AND(NOT(EXACT('4a-Avancement_minif'!$H$159,"")),'4a-Avancement_minif'!$H$159&lt;4)</formula>
    </cfRule>
  </conditionalFormatting>
  <conditionalFormatting sqref="B165">
    <cfRule type="expression" priority="24" dxfId="3" stopIfTrue="1">
      <formula>AND(NOT(EXACT('4a-Avancement_minif'!$H$159,"")),'4a-Avancement_minif'!$H$159&lt;3)</formula>
    </cfRule>
  </conditionalFormatting>
  <conditionalFormatting sqref="B167">
    <cfRule type="expression" priority="25" dxfId="3" stopIfTrue="1">
      <formula>AND(NOT(EXACT('4a-Avancement_minif'!$H$159,"")),'4a-Avancement_minif'!$H$159&lt;5)</formula>
    </cfRule>
  </conditionalFormatting>
  <conditionalFormatting sqref="H163:J163">
    <cfRule type="expression" priority="26" dxfId="27" stopIfTrue="1">
      <formula>AND(NOT(EXACT('4a-Avancement_minif'!$H$159,"")),'4a-Avancement_minif'!$H$159&lt;1)</formula>
    </cfRule>
  </conditionalFormatting>
  <conditionalFormatting sqref="H164:J164">
    <cfRule type="expression" priority="27" dxfId="27" stopIfTrue="1">
      <formula>AND(NOT(EXACT('4a-Avancement_minif'!$H$159,"")),'4a-Avancement_minif'!$H$159&lt;2)</formula>
    </cfRule>
  </conditionalFormatting>
  <conditionalFormatting sqref="H165:J165">
    <cfRule type="expression" priority="28" dxfId="27" stopIfTrue="1">
      <formula>AND(NOT(EXACT('4a-Avancement_minif'!$H$159,"")),'4a-Avancement_minif'!$H$159&lt;3)</formula>
    </cfRule>
  </conditionalFormatting>
  <conditionalFormatting sqref="H166:J166">
    <cfRule type="expression" priority="29" dxfId="27" stopIfTrue="1">
      <formula>AND(NOT(EXACT('4a-Avancement_minif'!$H$159,"")),'4a-Avancement_minif'!$H$159&lt;4)</formula>
    </cfRule>
  </conditionalFormatting>
  <conditionalFormatting sqref="H167:J167">
    <cfRule type="expression" priority="30" dxfId="27" stopIfTrue="1">
      <formula>AND(NOT(EXACT('4a-Avancement_minif'!$H$159,"")),'4a-Avancement_minif'!$H$159&lt;5)</formula>
    </cfRule>
  </conditionalFormatting>
  <conditionalFormatting sqref="K163:L167 L168">
    <cfRule type="expression" priority="31" dxfId="3" stopIfTrue="1">
      <formula>NOT(EXACT('4a-Avancement_minif'!$H$159,""))</formula>
    </cfRule>
  </conditionalFormatting>
  <conditionalFormatting sqref="A180">
    <cfRule type="expression" priority="32" dxfId="3" stopIfTrue="1">
      <formula>NOT(EXACT('4a-Avancement_minif'!$H$175,""))</formula>
    </cfRule>
  </conditionalFormatting>
  <conditionalFormatting sqref="H180:J180 L181">
    <cfRule type="expression" priority="33" dxfId="3" stopIfTrue="1">
      <formula>NOT(EXACT('4a-Avancement_minif'!$H$175,""))</formula>
    </cfRule>
  </conditionalFormatting>
  <conditionalFormatting sqref="A185">
    <cfRule type="expression" priority="34" dxfId="3" stopIfTrue="1">
      <formula>NOT(EXACT('4a-Avancement_minif'!$H$176,""))</formula>
    </cfRule>
  </conditionalFormatting>
  <conditionalFormatting sqref="H185:J185 L186">
    <cfRule type="expression" priority="35" dxfId="3" stopIfTrue="1">
      <formula>NOT(EXACT('4a-Avancement_minif'!$H$176,""))</formula>
    </cfRule>
  </conditionalFormatting>
  <conditionalFormatting sqref="K33:L36 L37 L128">
    <cfRule type="expression" priority="36" dxfId="3" stopIfTrue="1">
      <formula>NOT(EXACT('4a-Avancement_minif'!$H$29,""))</formula>
    </cfRule>
  </conditionalFormatting>
  <conditionalFormatting sqref="B36:D36">
    <cfRule type="expression" priority="37" dxfId="3" stopIfTrue="1">
      <formula>AND(NOT(EXACT('4a-Avancement_minif'!$H$29,"")),'4a-Avancement_minif'!$H$29&lt;4)</formula>
    </cfRule>
  </conditionalFormatting>
  <conditionalFormatting sqref="H36:J36">
    <cfRule type="expression" priority="38" dxfId="27" stopIfTrue="1">
      <formula>AND(NOT(EXACT('4a-Avancement_minif'!$H$29,"")),'4a-Avancement_minif'!$H$29&lt;4)</formula>
    </cfRule>
  </conditionalFormatting>
  <conditionalFormatting sqref="B34:D34">
    <cfRule type="expression" priority="39" dxfId="3" stopIfTrue="1">
      <formula>AND(NOT(EXACT('4a-Avancement_minif'!$H$29,"")),'4a-Avancement_minif'!$H$29&lt;2)</formula>
    </cfRule>
  </conditionalFormatting>
  <conditionalFormatting sqref="B35:D35">
    <cfRule type="expression" priority="40" dxfId="3" stopIfTrue="1">
      <formula>AND(NOT(EXACT('4a-Avancement_minif'!$H$29,"")),'4a-Avancement_minif'!$H$29&lt;3)</formula>
    </cfRule>
  </conditionalFormatting>
  <conditionalFormatting sqref="B33:D33">
    <cfRule type="expression" priority="41" dxfId="3" stopIfTrue="1">
      <formula>AND(NOT(EXACT('4a-Avancement_minif'!$H$29,"")),'4a-Avancement_minif'!$H$29&lt;1)</formula>
    </cfRule>
  </conditionalFormatting>
  <conditionalFormatting sqref="H33:J33">
    <cfRule type="expression" priority="42" dxfId="27" stopIfTrue="1">
      <formula>AND(NOT(EXACT('4a-Avancement_minif'!$H$29,"")),'4a-Avancement_minif'!$H$29&lt;1)</formula>
    </cfRule>
  </conditionalFormatting>
  <conditionalFormatting sqref="H34:J34">
    <cfRule type="expression" priority="43" dxfId="27" stopIfTrue="1">
      <formula>AND(NOT(EXACT('4a-Avancement_minif'!$H$29,"")),'4a-Avancement_minif'!$H$29&lt;2)</formula>
    </cfRule>
  </conditionalFormatting>
  <conditionalFormatting sqref="H35:J35">
    <cfRule type="expression" priority="44" dxfId="27" stopIfTrue="1">
      <formula>AND(NOT(EXACT('4a-Avancement_minif'!$H$29,"")),'4a-Avancement_minif'!$H$29&lt;3)</formula>
    </cfRule>
  </conditionalFormatting>
  <conditionalFormatting sqref="B128:D128 C129:C131 C133:C134 H129:J134">
    <cfRule type="expression" priority="45" dxfId="3" stopIfTrue="1">
      <formula>AND(NOT(EXACT('4a-Avancement_minif'!$H$117,"")),'4a-Avancement_minif'!$H$117&lt;2)</formula>
    </cfRule>
  </conditionalFormatting>
  <conditionalFormatting sqref="B121:D121 C122:C127 C132 H122:J127">
    <cfRule type="expression" priority="46" dxfId="3" stopIfTrue="1">
      <formula>AND(NOT(EXACT('4a-Avancement_minif'!$H$117,"")),'4a-Avancement_minif'!$H$117&lt;1)</formula>
    </cfRule>
  </conditionalFormatting>
  <conditionalFormatting sqref="K122:K127 K129:K134">
    <cfRule type="expression" priority="47" dxfId="27" stopIfTrue="1">
      <formula>NOT(EXACT('4a-Avancement_minif'!$H$117,""))</formula>
    </cfRule>
  </conditionalFormatting>
  <conditionalFormatting sqref="L122:L127 L129:L135">
    <cfRule type="expression" priority="48" dxfId="3" stopIfTrue="1">
      <formula>NOT(EXACT('4a-Avancement_minif'!$H$117,""))</formula>
    </cfRule>
  </conditionalFormatting>
  <conditionalFormatting sqref="L85">
    <cfRule type="expression" priority="49" dxfId="3" stopIfTrue="1">
      <formula>AND(OR(NOT(EXACT('4a-Avancement_minif'!#REF!,"")),NOT(EXACT('4a-Avancement_minif'!#REF!,"")),NOT(EXACT('4a-Avancement_minif'!#REF!,""))),OR(NOT(EXACT('4a-Avancement_minif'!#REF!,"")),NOT(EXACT('4a-Avancement_minif'!#REF!,"")),NOT(EXACT('4a-Avancement_minif'!#REF!,""))))</formula>
    </cfRule>
  </conditionalFormatting>
  <conditionalFormatting sqref="D8:G8">
    <cfRule type="cellIs" priority="50" dxfId="0" operator="equal" stopIfTrue="1">
      <formula>"Sélectionner …"</formula>
    </cfRule>
  </conditionalFormatting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0"/>
  <rowBreaks count="2" manualBreakCount="2">
    <brk id="76" max="255" man="1"/>
    <brk id="13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191"/>
  <sheetViews>
    <sheetView showGridLines="0" zoomScale="85" zoomScaleNormal="85" zoomScaleSheetLayoutView="85" workbookViewId="0" topLeftCell="A1">
      <selection activeCell="L58" sqref="L58"/>
    </sheetView>
  </sheetViews>
  <sheetFormatPr defaultColWidth="11.57421875" defaultRowHeight="12.75"/>
  <cols>
    <col min="1" max="1" width="14.421875" style="39" customWidth="1"/>
    <col min="2" max="2" width="5.00390625" style="39" customWidth="1"/>
    <col min="3" max="3" width="9.28125" style="39" customWidth="1"/>
    <col min="4" max="4" width="10.8515625" style="39" customWidth="1"/>
    <col min="5" max="5" width="2.7109375" style="39" customWidth="1"/>
    <col min="6" max="6" width="17.421875" style="39" customWidth="1"/>
    <col min="7" max="7" width="2.421875" style="39" customWidth="1"/>
    <col min="8" max="9" width="3.7109375" style="39" customWidth="1"/>
    <col min="10" max="10" width="4.140625" style="39" customWidth="1"/>
    <col min="11" max="11" width="7.140625" style="39" customWidth="1"/>
    <col min="12" max="12" width="7.00390625" style="39" customWidth="1"/>
    <col min="13" max="13" width="8.8515625" style="39" customWidth="1"/>
    <col min="14" max="14" width="9.140625" style="39" customWidth="1"/>
    <col min="15" max="15" width="1.421875" style="39" customWidth="1"/>
    <col min="16" max="16" width="15.00390625" style="39" customWidth="1"/>
    <col min="17" max="17" width="6.421875" style="39" customWidth="1"/>
    <col min="18" max="18" width="2.421875" style="39" customWidth="1"/>
    <col min="19" max="16384" width="11.421875" style="39" customWidth="1"/>
  </cols>
  <sheetData>
    <row r="1" ht="12">
      <c r="A1" s="46"/>
    </row>
    <row r="2" spans="1:17" ht="18">
      <c r="A2" s="565" t="s">
        <v>438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4" spans="1:17" ht="18">
      <c r="A4" s="565" t="str">
        <f>ANNEE</f>
        <v>2011-2012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</row>
    <row r="6" spans="1:17" ht="16.5">
      <c r="A6" s="566" t="s">
        <v>439</v>
      </c>
      <c r="B6" s="566"/>
      <c r="C6" s="566"/>
      <c r="D6" s="567">
        <f>IF('1-Registration'!B14=Source!A19,'1-Registration'!B12,"")</f>
      </c>
      <c r="E6" s="567"/>
      <c r="F6" s="567"/>
      <c r="G6" s="567"/>
      <c r="H6" s="566" t="s">
        <v>440</v>
      </c>
      <c r="I6" s="566"/>
      <c r="J6" s="566"/>
      <c r="K6" s="566"/>
      <c r="L6" s="566"/>
      <c r="M6" s="566"/>
      <c r="N6" s="567"/>
      <c r="O6" s="567"/>
      <c r="P6" s="567"/>
      <c r="Q6" s="118"/>
    </row>
    <row r="7" spans="1:17" ht="1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119"/>
    </row>
    <row r="8" spans="1:17" ht="16.5">
      <c r="A8" s="566" t="s">
        <v>441</v>
      </c>
      <c r="B8" s="566"/>
      <c r="C8" s="566"/>
      <c r="D8" s="568" t="s">
        <v>288</v>
      </c>
      <c r="E8" s="568"/>
      <c r="F8" s="568"/>
      <c r="G8" s="568"/>
      <c r="H8" s="566" t="s">
        <v>442</v>
      </c>
      <c r="I8" s="566"/>
      <c r="J8" s="566"/>
      <c r="K8" s="566"/>
      <c r="L8" s="566"/>
      <c r="M8" s="566"/>
      <c r="N8" s="120">
        <f>(N19+N27+N54+N77+N98)/100</f>
        <v>0</v>
      </c>
      <c r="O8" s="121"/>
      <c r="P8" s="122"/>
      <c r="Q8" s="118"/>
    </row>
    <row r="9" spans="1:17" ht="16.5">
      <c r="A9" s="123"/>
      <c r="B9" s="121"/>
      <c r="C9" s="569" t="s">
        <v>443</v>
      </c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120">
        <f>(N108+N138+N171)/100</f>
        <v>0</v>
      </c>
      <c r="O9" s="121"/>
      <c r="P9" s="122"/>
      <c r="Q9" s="118"/>
    </row>
    <row r="10" spans="1:17" ht="13.5" customHeight="1">
      <c r="A10" s="124"/>
      <c r="B10" s="125"/>
      <c r="C10" s="125"/>
      <c r="D10" s="125"/>
      <c r="E10" s="125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1:17" ht="13.5" customHeight="1">
      <c r="A11" s="563" t="s">
        <v>444</v>
      </c>
      <c r="B11" s="563"/>
      <c r="C11" s="128">
        <f>N19</f>
        <v>0</v>
      </c>
      <c r="D11" s="129"/>
      <c r="E11" s="129"/>
      <c r="F11" s="129"/>
      <c r="G11" s="563" t="s">
        <v>445</v>
      </c>
      <c r="H11" s="563"/>
      <c r="I11" s="563"/>
      <c r="J11" s="563"/>
      <c r="K11" s="563"/>
      <c r="L11" s="130">
        <f>N98</f>
        <v>0</v>
      </c>
      <c r="M11" s="127"/>
      <c r="N11" s="127"/>
      <c r="O11" s="127"/>
      <c r="P11" s="127"/>
      <c r="Q11" s="127"/>
    </row>
    <row r="12" spans="1:17" ht="13.5" customHeight="1">
      <c r="A12" s="563" t="s">
        <v>446</v>
      </c>
      <c r="B12" s="563"/>
      <c r="C12" s="128">
        <f>N27</f>
        <v>0</v>
      </c>
      <c r="D12" s="129"/>
      <c r="E12" s="129"/>
      <c r="F12" s="129"/>
      <c r="G12" s="564" t="s">
        <v>444</v>
      </c>
      <c r="H12" s="564"/>
      <c r="I12" s="564"/>
      <c r="J12" s="564"/>
      <c r="K12" s="564"/>
      <c r="L12" s="130">
        <f>N108</f>
        <v>0</v>
      </c>
      <c r="M12" s="127"/>
      <c r="N12" s="127"/>
      <c r="O12" s="127"/>
      <c r="P12" s="127"/>
      <c r="Q12" s="127"/>
    </row>
    <row r="13" spans="1:17" ht="13.5" customHeight="1">
      <c r="A13" s="563" t="s">
        <v>447</v>
      </c>
      <c r="B13" s="563"/>
      <c r="C13" s="128">
        <f>N54</f>
        <v>0</v>
      </c>
      <c r="G13" s="563" t="s">
        <v>448</v>
      </c>
      <c r="H13" s="563"/>
      <c r="I13" s="563"/>
      <c r="J13" s="563"/>
      <c r="K13" s="563"/>
      <c r="L13" s="128">
        <f>N138</f>
        <v>0</v>
      </c>
      <c r="M13" s="131"/>
      <c r="N13" s="131"/>
      <c r="O13" s="131"/>
      <c r="P13" s="132"/>
      <c r="Q13" s="131"/>
    </row>
    <row r="14" spans="1:17" ht="13.5" customHeight="1">
      <c r="A14" s="563" t="s">
        <v>449</v>
      </c>
      <c r="B14" s="563"/>
      <c r="C14" s="128">
        <f>N77</f>
        <v>0</v>
      </c>
      <c r="G14" s="564" t="s">
        <v>450</v>
      </c>
      <c r="H14" s="564"/>
      <c r="I14" s="564"/>
      <c r="J14" s="564"/>
      <c r="K14" s="564"/>
      <c r="L14" s="128">
        <f>N171</f>
        <v>0</v>
      </c>
      <c r="P14" s="46"/>
      <c r="Q14" s="133"/>
    </row>
    <row r="15" spans="1:17" ht="13.5" customHeight="1">
      <c r="A15" s="134"/>
      <c r="B15" s="134"/>
      <c r="G15" s="135"/>
      <c r="H15" s="135"/>
      <c r="I15" s="135"/>
      <c r="J15" s="135"/>
      <c r="K15" s="136"/>
      <c r="P15" s="46"/>
      <c r="Q15" s="46"/>
    </row>
    <row r="16" spans="1:17" ht="13.5" customHeight="1">
      <c r="A16" s="412" t="s">
        <v>451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6"/>
    </row>
    <row r="17" spans="1:17" ht="13.5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  <c r="Q17" s="46"/>
    </row>
    <row r="18" spans="1:17" ht="13.5" customHeight="1">
      <c r="A18" s="134"/>
      <c r="B18" s="134"/>
      <c r="G18" s="143"/>
      <c r="H18" s="143"/>
      <c r="I18" s="143"/>
      <c r="J18" s="143"/>
      <c r="K18" s="144"/>
      <c r="P18" s="46"/>
      <c r="Q18" s="46"/>
    </row>
    <row r="19" spans="1:17" ht="15">
      <c r="A19" s="54" t="s">
        <v>444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 t="s">
        <v>296</v>
      </c>
      <c r="N19" s="145">
        <f>IF(AND(NOT(EXACT(L25,"")),NOT(EXACT(L47,""))),(L25+L47)*100,IF(AND(EXACT(L25,""),NOT(EXACT(L47,""))),L47*100,IF(AND(NOT(EXACT(L25,"")),EXACT(L47,"")),L25*100,0)))</f>
        <v>0</v>
      </c>
      <c r="O19" s="55" t="s">
        <v>297</v>
      </c>
      <c r="P19" s="146">
        <f>(K25+K47)*100</f>
        <v>8</v>
      </c>
      <c r="Q19" s="147"/>
    </row>
    <row r="20" spans="1:17" ht="12">
      <c r="A20" s="57"/>
      <c r="B20" s="148"/>
      <c r="C20" s="148"/>
      <c r="D20" s="148"/>
      <c r="E20" s="148"/>
      <c r="F20" s="148"/>
      <c r="G20" s="46"/>
      <c r="H20" s="148"/>
      <c r="I20" s="148"/>
      <c r="J20" s="148"/>
      <c r="K20" s="148"/>
      <c r="L20" s="148"/>
      <c r="M20" s="149" t="s">
        <v>452</v>
      </c>
      <c r="N20" s="150"/>
      <c r="O20" s="150"/>
      <c r="P20" s="65"/>
      <c r="Q20" s="46"/>
    </row>
    <row r="21" spans="1:17" ht="12">
      <c r="A21" s="57"/>
      <c r="B21" s="148"/>
      <c r="C21" s="148"/>
      <c r="D21" s="148"/>
      <c r="E21" s="148"/>
      <c r="F21" s="148"/>
      <c r="G21" s="46"/>
      <c r="H21" s="151">
        <v>0</v>
      </c>
      <c r="I21" s="152">
        <v>0.5</v>
      </c>
      <c r="J21" s="151">
        <v>1</v>
      </c>
      <c r="K21" s="148"/>
      <c r="L21" s="148"/>
      <c r="M21" s="149"/>
      <c r="N21" s="150"/>
      <c r="O21" s="150"/>
      <c r="P21" s="65"/>
      <c r="Q21" s="46"/>
    </row>
    <row r="22" spans="1:17" ht="13.5" customHeight="1">
      <c r="A22" s="57"/>
      <c r="B22" s="148"/>
      <c r="C22" s="148"/>
      <c r="D22" s="153"/>
      <c r="E22" s="148"/>
      <c r="F22" s="154"/>
      <c r="G22" s="46"/>
      <c r="H22" s="544" t="s">
        <v>453</v>
      </c>
      <c r="I22" s="544" t="s">
        <v>454</v>
      </c>
      <c r="J22" s="544" t="s">
        <v>455</v>
      </c>
      <c r="K22" s="148"/>
      <c r="L22" s="148"/>
      <c r="M22" s="155" t="s">
        <v>456</v>
      </c>
      <c r="N22" s="156"/>
      <c r="O22" s="156"/>
      <c r="P22" s="65"/>
      <c r="Q22" s="46"/>
    </row>
    <row r="23" spans="1:17" ht="13.5" customHeight="1">
      <c r="A23" s="157" t="s">
        <v>457</v>
      </c>
      <c r="B23" s="148"/>
      <c r="C23" s="148"/>
      <c r="D23" s="158"/>
      <c r="E23" s="159"/>
      <c r="F23" s="160"/>
      <c r="G23" s="161"/>
      <c r="H23" s="544"/>
      <c r="I23" s="544"/>
      <c r="J23" s="544"/>
      <c r="K23" s="162" t="s">
        <v>304</v>
      </c>
      <c r="L23" s="163" t="s">
        <v>458</v>
      </c>
      <c r="M23" s="573" t="s">
        <v>459</v>
      </c>
      <c r="N23" s="573"/>
      <c r="O23" s="573"/>
      <c r="P23" s="573"/>
      <c r="Q23" s="46"/>
    </row>
    <row r="24" spans="1:17" ht="12">
      <c r="A24" s="539" t="s">
        <v>460</v>
      </c>
      <c r="B24" s="539"/>
      <c r="C24" s="539"/>
      <c r="D24" s="539"/>
      <c r="E24" s="539"/>
      <c r="F24" s="539"/>
      <c r="G24" s="539"/>
      <c r="H24" s="164"/>
      <c r="I24" s="165"/>
      <c r="J24" s="166"/>
      <c r="K24" s="167"/>
      <c r="L24" s="167"/>
      <c r="M24" s="573"/>
      <c r="N24" s="573"/>
      <c r="O24" s="573"/>
      <c r="P24" s="573"/>
      <c r="Q24" s="46"/>
    </row>
    <row r="25" spans="1:17" ht="12">
      <c r="A25" s="168"/>
      <c r="B25" s="148"/>
      <c r="C25" s="148"/>
      <c r="D25" s="169"/>
      <c r="E25" s="148"/>
      <c r="F25" s="169"/>
      <c r="G25" s="48"/>
      <c r="H25" s="540" t="s">
        <v>296</v>
      </c>
      <c r="I25" s="540"/>
      <c r="J25" s="540"/>
      <c r="K25" s="171">
        <v>0.08</v>
      </c>
      <c r="L25" s="230">
        <f>IF(AND(EXACT(H24,""),EXACT(I24,""),EXACT(J24,"")),"",IF(NOT(EXACT(J24,"")),IF(NOT(EXACT(K25,"")),K25*J21,""),IF(NOT(EXACT(I24,"")),IF(NOT(EXACT(K25,"")),K25*I21,""),IF(NOT(EXACT(H24,"")),IF(NOT(EXACT(K25,"")),K25*H21,"")))))</f>
      </c>
      <c r="M25" s="562"/>
      <c r="N25" s="562"/>
      <c r="O25" s="562"/>
      <c r="P25" s="562"/>
      <c r="Q25" s="48"/>
    </row>
    <row r="26" spans="1:16" ht="13.5" customHeight="1">
      <c r="A26" s="173"/>
      <c r="B26" s="174"/>
      <c r="C26" s="174"/>
      <c r="D26" s="174"/>
      <c r="E26" s="174"/>
      <c r="F26" s="174"/>
      <c r="G26" s="175"/>
      <c r="H26" s="175"/>
      <c r="I26" s="175"/>
      <c r="J26" s="175"/>
      <c r="K26" s="175"/>
      <c r="L26" s="175"/>
      <c r="M26" s="562"/>
      <c r="N26" s="562"/>
      <c r="O26" s="562"/>
      <c r="P26" s="562"/>
    </row>
    <row r="27" spans="1:17" ht="15">
      <c r="A27" s="54" t="s">
        <v>461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 t="s">
        <v>296</v>
      </c>
      <c r="N27" s="145">
        <f>IF(AND(NOT(EXACT(L37,"")),NOT(EXACT(L46,"")),NOT(EXACT(L52,""))),(L37+L46+L52)*100,0)</f>
        <v>0</v>
      </c>
      <c r="O27" s="55" t="s">
        <v>297</v>
      </c>
      <c r="P27" s="146">
        <f>(K37+K46+K52)*100</f>
        <v>33</v>
      </c>
      <c r="Q27" s="180"/>
    </row>
    <row r="28" spans="1:17" ht="15">
      <c r="A28" s="243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49" t="s">
        <v>452</v>
      </c>
      <c r="N28" s="150"/>
      <c r="O28" s="150"/>
      <c r="P28" s="289"/>
      <c r="Q28" s="180"/>
    </row>
    <row r="29" spans="1:17" ht="12">
      <c r="A29" s="186" t="s">
        <v>462</v>
      </c>
      <c r="B29" s="187"/>
      <c r="C29" s="187"/>
      <c r="D29" s="187"/>
      <c r="E29" s="187"/>
      <c r="F29" s="187"/>
      <c r="G29" s="188"/>
      <c r="H29" s="548"/>
      <c r="I29" s="548"/>
      <c r="J29" s="548"/>
      <c r="K29" s="190"/>
      <c r="L29" s="191"/>
      <c r="M29" s="192"/>
      <c r="N29" s="46"/>
      <c r="O29" s="46"/>
      <c r="P29" s="65"/>
      <c r="Q29" s="46"/>
    </row>
    <row r="30" spans="1:17" ht="12">
      <c r="A30" s="193"/>
      <c r="B30" s="161"/>
      <c r="C30" s="161"/>
      <c r="D30" s="161"/>
      <c r="E30" s="161"/>
      <c r="F30" s="161"/>
      <c r="G30" s="194"/>
      <c r="H30" s="195">
        <v>0.25</v>
      </c>
      <c r="I30" s="196">
        <v>0.75</v>
      </c>
      <c r="J30" s="195">
        <v>1</v>
      </c>
      <c r="K30" s="197"/>
      <c r="L30" s="154"/>
      <c r="M30" s="192"/>
      <c r="N30" s="46"/>
      <c r="O30" s="46"/>
      <c r="P30" s="65"/>
      <c r="Q30" s="46"/>
    </row>
    <row r="31" spans="1:17" ht="24.75" customHeight="1">
      <c r="A31" s="198"/>
      <c r="B31" s="148"/>
      <c r="C31" s="148"/>
      <c r="D31" s="148"/>
      <c r="E31" s="148"/>
      <c r="F31" s="148"/>
      <c r="G31" s="199"/>
      <c r="H31" s="544" t="s">
        <v>463</v>
      </c>
      <c r="I31" s="544" t="s">
        <v>464</v>
      </c>
      <c r="J31" s="544" t="s">
        <v>465</v>
      </c>
      <c r="K31" s="200"/>
      <c r="L31" s="160"/>
      <c r="M31" s="201"/>
      <c r="N31" s="202"/>
      <c r="O31" s="202"/>
      <c r="P31" s="199" t="s">
        <v>77</v>
      </c>
      <c r="Q31" s="202"/>
    </row>
    <row r="32" spans="1:17" ht="13.5" customHeight="1">
      <c r="A32" s="198"/>
      <c r="B32" s="148"/>
      <c r="C32" s="148"/>
      <c r="D32" s="148"/>
      <c r="E32" s="148"/>
      <c r="F32" s="148"/>
      <c r="G32" s="199"/>
      <c r="H32" s="544"/>
      <c r="I32" s="544"/>
      <c r="J32" s="544"/>
      <c r="K32" s="162" t="s">
        <v>304</v>
      </c>
      <c r="L32" s="203" t="s">
        <v>458</v>
      </c>
      <c r="M32" s="201"/>
      <c r="N32" s="202"/>
      <c r="O32" s="202"/>
      <c r="P32" s="199"/>
      <c r="Q32" s="202"/>
    </row>
    <row r="33" spans="1:17" ht="12">
      <c r="A33" s="204"/>
      <c r="B33" s="205" t="s">
        <v>466</v>
      </c>
      <c r="C33" s="206"/>
      <c r="D33" s="546"/>
      <c r="E33" s="546"/>
      <c r="F33" s="546"/>
      <c r="G33" s="546"/>
      <c r="H33" s="207"/>
      <c r="I33" s="207"/>
      <c r="J33" s="208"/>
      <c r="K33" s="209">
        <v>0.02</v>
      </c>
      <c r="L33" s="210">
        <f>IF(OR(AND(EXACT(H33,""),EXACT(I33,""),EXACT(J33,"")),EXACT($H$29,"")),"",IF(NOT(EXACT(J33,"")),IF(NOT(EXACT(K33,"")),K33*J30,""),IF(NOT(EXACT(I33,"")),IF(NOT(EXACT(K33,"")),K33*I30,""),IF(NOT(EXACT(H33,"")),IF(NOT(EXACT(K33,"")),K33*H30,"")))))</f>
      </c>
      <c r="M33" s="192"/>
      <c r="N33" s="46"/>
      <c r="O33" s="46"/>
      <c r="P33" s="65"/>
      <c r="Q33" s="46"/>
    </row>
    <row r="34" spans="1:17" ht="12">
      <c r="A34" s="204"/>
      <c r="B34" s="211" t="s">
        <v>467</v>
      </c>
      <c r="C34" s="212"/>
      <c r="D34" s="547"/>
      <c r="E34" s="547"/>
      <c r="F34" s="547"/>
      <c r="G34" s="547"/>
      <c r="H34" s="207"/>
      <c r="I34" s="207"/>
      <c r="J34" s="208"/>
      <c r="K34" s="209">
        <v>0.02</v>
      </c>
      <c r="L34" s="210">
        <f>IF(OR(AND(EXACT(H34,""),EXACT(I34,""),EXACT(J34,"")),EXACT($H$29,"")),"",IF(NOT(EXACT(J34,"")),IF(NOT(EXACT(K34,"")),K34*J30,""),IF(NOT(EXACT(I34,"")),IF(NOT(EXACT(K34,"")),K34*I30,""),IF(NOT(EXACT(H34,"")),IF(NOT(EXACT(K34,"")),K34*H30,"")))))</f>
      </c>
      <c r="M34" s="192"/>
      <c r="N34" s="46"/>
      <c r="O34" s="46"/>
      <c r="P34" s="65"/>
      <c r="Q34" s="46"/>
    </row>
    <row r="35" spans="1:17" ht="12">
      <c r="A35" s="204"/>
      <c r="B35" s="213" t="s">
        <v>468</v>
      </c>
      <c r="C35" s="212"/>
      <c r="D35" s="547"/>
      <c r="E35" s="547"/>
      <c r="F35" s="547"/>
      <c r="G35" s="547"/>
      <c r="H35" s="207"/>
      <c r="I35" s="207"/>
      <c r="J35" s="208"/>
      <c r="K35" s="209">
        <v>0.02</v>
      </c>
      <c r="L35" s="210">
        <f>IF(OR(AND(EXACT(H35,""),EXACT(I35,""),EXACT(J35,"")),EXACT($H$29,"")),"",IF(NOT(EXACT(J35,"")),IF(NOT(EXACT(K35,"")),K35*J30,""),IF(NOT(EXACT(I35,"")),IF(NOT(EXACT(K35,"")),K35*I30,""),IF(NOT(EXACT(H35,"")),IF(NOT(EXACT(K35,"")),K35*H30,"")))))</f>
      </c>
      <c r="M35" s="192"/>
      <c r="N35" s="46"/>
      <c r="O35" s="46"/>
      <c r="P35" s="65"/>
      <c r="Q35" s="46"/>
    </row>
    <row r="36" spans="1:17" ht="12">
      <c r="A36" s="204"/>
      <c r="B36" s="214" t="s">
        <v>469</v>
      </c>
      <c r="C36" s="215"/>
      <c r="D36" s="542"/>
      <c r="E36" s="542"/>
      <c r="F36" s="542"/>
      <c r="G36" s="542"/>
      <c r="H36" s="207"/>
      <c r="I36" s="207"/>
      <c r="J36" s="208"/>
      <c r="K36" s="209">
        <v>0.02</v>
      </c>
      <c r="L36" s="210">
        <f>IF(OR(AND(EXACT(H36,""),EXACT(I36,""),EXACT(J36,"")),EXACT($H$29,"")),"",IF(NOT(EXACT(J36,"")),IF(NOT(EXACT(K36,"")),K36*J30,""),IF(NOT(EXACT(I36,"")),IF(NOT(EXACT(K36,"")),K36*I30,""),IF(NOT(EXACT(H36,"")),IF(NOT(EXACT(K36,"")),K36*H30,"")))))</f>
      </c>
      <c r="M36" s="192"/>
      <c r="N36" s="46"/>
      <c r="O36" s="46"/>
      <c r="P36" s="216"/>
      <c r="Q36" s="217"/>
    </row>
    <row r="37" spans="1:17" ht="12">
      <c r="A37" s="192"/>
      <c r="B37" s="161"/>
      <c r="C37" s="161"/>
      <c r="D37" s="161"/>
      <c r="E37" s="161"/>
      <c r="F37" s="161"/>
      <c r="G37" s="161"/>
      <c r="H37" s="540" t="s">
        <v>296</v>
      </c>
      <c r="I37" s="540"/>
      <c r="J37" s="540"/>
      <c r="K37" s="171">
        <v>0.08</v>
      </c>
      <c r="L37" s="218">
        <f>IF(EXACT(H29,""),"",IF(H29=0,K37,SUM(L33:L36)))</f>
      </c>
      <c r="M37" s="192"/>
      <c r="N37" s="46"/>
      <c r="O37" s="46"/>
      <c r="P37" s="65"/>
      <c r="Q37" s="46"/>
    </row>
    <row r="38" spans="1:17" ht="12">
      <c r="A38" s="219"/>
      <c r="B38" s="161"/>
      <c r="C38" s="161"/>
      <c r="D38" s="161"/>
      <c r="E38" s="161"/>
      <c r="F38" s="161"/>
      <c r="G38" s="161"/>
      <c r="H38" s="148"/>
      <c r="I38" s="148"/>
      <c r="J38" s="148"/>
      <c r="K38" s="220"/>
      <c r="L38" s="220"/>
      <c r="M38" s="192"/>
      <c r="N38" s="46"/>
      <c r="O38" s="46"/>
      <c r="P38" s="65"/>
      <c r="Q38" s="46"/>
    </row>
    <row r="39" spans="1:17" ht="12">
      <c r="A39" s="221"/>
      <c r="B39" s="222"/>
      <c r="C39" s="222"/>
      <c r="D39" s="222"/>
      <c r="E39" s="222"/>
      <c r="F39" s="222"/>
      <c r="G39" s="223"/>
      <c r="H39" s="151">
        <v>0</v>
      </c>
      <c r="I39" s="152">
        <v>0.75</v>
      </c>
      <c r="J39" s="152">
        <v>1</v>
      </c>
      <c r="K39" s="223"/>
      <c r="L39" s="67"/>
      <c r="M39" s="201"/>
      <c r="N39" s="202"/>
      <c r="O39" s="202"/>
      <c r="P39" s="65"/>
      <c r="Q39" s="46"/>
    </row>
    <row r="40" spans="1:17" ht="13.5" customHeight="1">
      <c r="A40" s="57"/>
      <c r="B40" s="148"/>
      <c r="C40" s="148"/>
      <c r="D40" s="153"/>
      <c r="E40" s="148"/>
      <c r="F40" s="543"/>
      <c r="G40" s="46"/>
      <c r="H40" s="544" t="s">
        <v>455</v>
      </c>
      <c r="I40" s="544" t="s">
        <v>454</v>
      </c>
      <c r="J40" s="544" t="s">
        <v>470</v>
      </c>
      <c r="K40" s="46"/>
      <c r="L40" s="46"/>
      <c r="M40" s="155" t="s">
        <v>456</v>
      </c>
      <c r="N40" s="156"/>
      <c r="O40" s="156"/>
      <c r="P40" s="65"/>
      <c r="Q40" s="46"/>
    </row>
    <row r="41" spans="1:17" ht="17.25" customHeight="1">
      <c r="A41" s="157"/>
      <c r="B41" s="148"/>
      <c r="C41" s="148"/>
      <c r="D41" s="158"/>
      <c r="E41" s="159"/>
      <c r="F41" s="543"/>
      <c r="G41" s="161"/>
      <c r="H41" s="544"/>
      <c r="I41" s="544"/>
      <c r="J41" s="544"/>
      <c r="K41" s="162" t="s">
        <v>304</v>
      </c>
      <c r="L41" s="203" t="s">
        <v>458</v>
      </c>
      <c r="M41" s="560" t="s">
        <v>471</v>
      </c>
      <c r="N41" s="560"/>
      <c r="O41" s="560"/>
      <c r="P41" s="560"/>
      <c r="Q41" s="46"/>
    </row>
    <row r="42" spans="1:17" ht="12">
      <c r="A42" s="539" t="s">
        <v>472</v>
      </c>
      <c r="B42" s="539"/>
      <c r="C42" s="539"/>
      <c r="D42" s="539"/>
      <c r="E42" s="539"/>
      <c r="F42" s="539"/>
      <c r="G42" s="539"/>
      <c r="H42" s="208"/>
      <c r="I42" s="208"/>
      <c r="J42" s="208"/>
      <c r="K42" s="224">
        <v>0.04</v>
      </c>
      <c r="L42" s="210">
        <f>IF(AND(EXACT(H42,""),EXACT(I42,""),EXACT(J42,"")),"",IF(NOT(EXACT(J42,"")),IF(NOT(EXACT(K42,"")),K42*$J$39,""),IF(NOT(EXACT(I42,"")),IF(NOT(EXACT(K42,"")),K42*$I$39,""),IF(NOT(EXACT(H42,"")),IF(NOT(EXACT(K42,"")),K42*$H$39,"")))))</f>
      </c>
      <c r="M42" s="560"/>
      <c r="N42" s="560"/>
      <c r="O42" s="560"/>
      <c r="P42" s="560"/>
      <c r="Q42" s="46"/>
    </row>
    <row r="43" spans="1:17" ht="12">
      <c r="A43" s="539" t="s">
        <v>473</v>
      </c>
      <c r="B43" s="539"/>
      <c r="C43" s="539"/>
      <c r="D43" s="539"/>
      <c r="E43" s="539"/>
      <c r="F43" s="539"/>
      <c r="G43" s="539"/>
      <c r="H43" s="208"/>
      <c r="I43" s="208"/>
      <c r="J43" s="208"/>
      <c r="K43" s="224">
        <v>0.04</v>
      </c>
      <c r="L43" s="210">
        <f>IF(AND(EXACT(H43,""),EXACT(I43,""),EXACT(J43,"")),"",IF(NOT(EXACT(J43,"")),IF(NOT(EXACT(K43,"")),K43*$J$39,""),IF(NOT(EXACT(I43,"")),IF(NOT(EXACT(K43,"")),K43*$I$39,""),IF(NOT(EXACT(H43,"")),IF(NOT(EXACT(K43,"")),K43*$H$39,"")))))</f>
      </c>
      <c r="M43" s="560"/>
      <c r="N43" s="560"/>
      <c r="O43" s="560"/>
      <c r="P43" s="560"/>
      <c r="Q43" s="48"/>
    </row>
    <row r="44" spans="1:17" ht="12">
      <c r="A44" s="539" t="s">
        <v>474</v>
      </c>
      <c r="B44" s="539"/>
      <c r="C44" s="539"/>
      <c r="D44" s="539"/>
      <c r="E44" s="539"/>
      <c r="F44" s="539"/>
      <c r="G44" s="539"/>
      <c r="H44" s="208"/>
      <c r="I44" s="208"/>
      <c r="J44" s="208"/>
      <c r="K44" s="224">
        <v>0.04</v>
      </c>
      <c r="L44" s="210">
        <f>IF(AND(EXACT(H44,""),EXACT(I44,""),EXACT(J44,"")),"",IF(NOT(EXACT(J44,"")),IF(NOT(EXACT(K44,"")),K44*$J$39,""),IF(NOT(EXACT(I44,"")),IF(NOT(EXACT(K44,"")),K44*$I$39,""),IF(NOT(EXACT(H44,"")),IF(NOT(EXACT(K44,"")),K44*$H$39,"")))))</f>
      </c>
      <c r="M44" s="560"/>
      <c r="N44" s="560"/>
      <c r="O44" s="560"/>
      <c r="P44" s="560"/>
      <c r="Q44" s="48"/>
    </row>
    <row r="45" spans="1:17" ht="12">
      <c r="A45" s="539" t="s">
        <v>475</v>
      </c>
      <c r="B45" s="539"/>
      <c r="C45" s="539"/>
      <c r="D45" s="539"/>
      <c r="E45" s="539"/>
      <c r="F45" s="539"/>
      <c r="G45" s="539"/>
      <c r="H45" s="208"/>
      <c r="I45" s="208"/>
      <c r="J45" s="208"/>
      <c r="K45" s="224">
        <v>0.06</v>
      </c>
      <c r="L45" s="210">
        <f>IF(AND(EXACT(H45,""),EXACT(I45,""),EXACT(J45,"")),"",IF(NOT(EXACT(J45,"")),IF(NOT(EXACT(K45,"")),K45*$J$39,""),IF(NOT(EXACT(I45,"")),IF(NOT(EXACT(K45,"")),K45*$I$39,""),IF(NOT(EXACT(H45,"")),IF(NOT(EXACT(K45,"")),K45*$H$39,"")))))</f>
      </c>
      <c r="M45" s="560"/>
      <c r="N45" s="560"/>
      <c r="O45" s="560"/>
      <c r="P45" s="560"/>
      <c r="Q45" s="48"/>
    </row>
    <row r="46" spans="1:17" ht="12">
      <c r="A46" s="168"/>
      <c r="B46" s="148"/>
      <c r="C46" s="148"/>
      <c r="D46" s="169"/>
      <c r="E46" s="148"/>
      <c r="F46" s="169"/>
      <c r="G46" s="48"/>
      <c r="H46" s="540" t="s">
        <v>296</v>
      </c>
      <c r="I46" s="540"/>
      <c r="J46" s="540"/>
      <c r="K46" s="171">
        <f>SUM(K42:K45)</f>
        <v>0.18</v>
      </c>
      <c r="L46" s="225">
        <f>IF(AND(OR(NOT(EXACT(H42,"")),NOT(EXACT(I42,"")),NOT(EXACT(J42,""))),OR(NOT(EXACT(H43,"")),NOT(EXACT(I43,"")),NOT(EXACT(J43,"")))),SUM(L42:L45),"")</f>
      </c>
      <c r="M46" s="560"/>
      <c r="N46" s="560"/>
      <c r="O46" s="560"/>
      <c r="P46" s="560"/>
      <c r="Q46" s="48"/>
    </row>
    <row r="47" spans="1:17" ht="12">
      <c r="A47" s="57"/>
      <c r="B47" s="148"/>
      <c r="C47" s="148"/>
      <c r="D47" s="148"/>
      <c r="E47" s="148"/>
      <c r="F47" s="148"/>
      <c r="G47" s="46"/>
      <c r="H47" s="226"/>
      <c r="I47" s="226"/>
      <c r="J47" s="226"/>
      <c r="K47" s="227"/>
      <c r="L47" s="228"/>
      <c r="M47" s="560"/>
      <c r="N47" s="560"/>
      <c r="O47" s="560"/>
      <c r="P47" s="560"/>
      <c r="Q47" s="46"/>
    </row>
    <row r="48" spans="1:17" ht="12">
      <c r="A48" s="221"/>
      <c r="B48" s="222"/>
      <c r="C48" s="222"/>
      <c r="D48" s="222"/>
      <c r="E48" s="222"/>
      <c r="F48" s="222"/>
      <c r="G48" s="223"/>
      <c r="H48" s="151">
        <v>0</v>
      </c>
      <c r="I48" s="152">
        <v>0.25</v>
      </c>
      <c r="J48" s="151">
        <v>1</v>
      </c>
      <c r="K48" s="223"/>
      <c r="L48" s="67"/>
      <c r="M48" s="560"/>
      <c r="N48" s="560"/>
      <c r="O48" s="560"/>
      <c r="P48" s="560"/>
      <c r="Q48" s="46"/>
    </row>
    <row r="49" spans="1:17" ht="33.75" customHeight="1">
      <c r="A49" s="57"/>
      <c r="B49" s="148"/>
      <c r="C49" s="148"/>
      <c r="D49" s="148"/>
      <c r="E49" s="148"/>
      <c r="F49" s="148"/>
      <c r="G49" s="161"/>
      <c r="H49" s="229" t="s">
        <v>476</v>
      </c>
      <c r="I49" s="229" t="s">
        <v>477</v>
      </c>
      <c r="J49" s="229" t="s">
        <v>325</v>
      </c>
      <c r="K49" s="162" t="s">
        <v>304</v>
      </c>
      <c r="L49" s="163" t="s">
        <v>458</v>
      </c>
      <c r="M49" s="155" t="s">
        <v>456</v>
      </c>
      <c r="N49" s="156"/>
      <c r="O49" s="156"/>
      <c r="P49" s="65"/>
      <c r="Q49" s="46"/>
    </row>
    <row r="50" spans="1:17" ht="12.75" customHeight="1">
      <c r="A50" s="539" t="s">
        <v>478</v>
      </c>
      <c r="B50" s="539"/>
      <c r="C50" s="539"/>
      <c r="D50" s="539"/>
      <c r="E50" s="539"/>
      <c r="F50" s="539"/>
      <c r="G50" s="539"/>
      <c r="H50" s="208"/>
      <c r="I50" s="208"/>
      <c r="J50" s="208"/>
      <c r="K50" s="224">
        <v>0.04</v>
      </c>
      <c r="L50" s="209">
        <f>IF(AND(EXACT(H50,""),EXACT(I50,""),EXACT(J50,"")),"",IF(NOT(EXACT(J50,"")),IF(NOT(EXACT(K50,"")),K50*$J$39,""),IF(NOT(EXACT(I50,"")),IF(NOT(EXACT(K50,"")),K50*$I$39,""),IF(NOT(EXACT(H50,"")),IF(NOT(EXACT(K50,"")),K50*$H$39,"")))))</f>
      </c>
      <c r="M50" s="549" t="s">
        <v>479</v>
      </c>
      <c r="N50" s="549"/>
      <c r="O50" s="549"/>
      <c r="P50" s="549"/>
      <c r="Q50" s="46"/>
    </row>
    <row r="51" spans="1:17" ht="12">
      <c r="A51" s="539" t="s">
        <v>480</v>
      </c>
      <c r="B51" s="539"/>
      <c r="C51" s="539"/>
      <c r="D51" s="539"/>
      <c r="E51" s="539"/>
      <c r="F51" s="539"/>
      <c r="G51" s="539"/>
      <c r="H51" s="208"/>
      <c r="I51" s="208"/>
      <c r="J51" s="208"/>
      <c r="K51" s="224">
        <v>0.03</v>
      </c>
      <c r="L51" s="209">
        <f>IF(AND(EXACT(H51,""),EXACT(I51,""),EXACT(J51,"")),"",IF(NOT(EXACT(J51,"")),IF(NOT(EXACT(K51,"")),K51*$J$39,""),IF(NOT(EXACT(I51,"")),IF(NOT(EXACT(K51,"")),K51*$I$39,""),IF(NOT(EXACT(H51,"")),IF(NOT(EXACT(K51,"")),K51*$H$39,"")))))</f>
      </c>
      <c r="M51" s="549"/>
      <c r="N51" s="549"/>
      <c r="O51" s="549"/>
      <c r="P51" s="549"/>
      <c r="Q51" s="46"/>
    </row>
    <row r="52" spans="1:17" ht="12">
      <c r="A52" s="221"/>
      <c r="B52" s="148"/>
      <c r="C52" s="148"/>
      <c r="D52" s="148"/>
      <c r="E52" s="148"/>
      <c r="F52" s="148"/>
      <c r="G52" s="65"/>
      <c r="H52" s="540" t="s">
        <v>296</v>
      </c>
      <c r="I52" s="540"/>
      <c r="J52" s="540"/>
      <c r="K52" s="171">
        <f>SUM(K48:K51)</f>
        <v>0.07</v>
      </c>
      <c r="L52" s="230">
        <f>IF(AND(OR(NOT(EXACT(H48,"")),NOT(EXACT(I48,"")),NOT(EXACT(J48,""))),OR(NOT(EXACT(H49,"")),NOT(EXACT(I49,"")),NOT(EXACT(J49,"")))),SUM(L48:L51),"")</f>
        <v>0</v>
      </c>
      <c r="M52" s="549"/>
      <c r="N52" s="549"/>
      <c r="O52" s="549"/>
      <c r="P52" s="549"/>
      <c r="Q52" s="46"/>
    </row>
    <row r="53" spans="1:16" ht="13.5" customHeight="1">
      <c r="A53" s="173"/>
      <c r="B53" s="174"/>
      <c r="C53" s="174"/>
      <c r="D53" s="174"/>
      <c r="E53" s="174"/>
      <c r="F53" s="174"/>
      <c r="G53" s="175"/>
      <c r="H53" s="175"/>
      <c r="I53" s="175"/>
      <c r="J53" s="175"/>
      <c r="K53" s="175"/>
      <c r="L53" s="175"/>
      <c r="M53" s="219"/>
      <c r="N53" s="175"/>
      <c r="O53" s="175"/>
      <c r="P53" s="68"/>
    </row>
    <row r="54" spans="1:16" ht="15.75" customHeight="1">
      <c r="A54" s="54" t="s">
        <v>447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 t="s">
        <v>296</v>
      </c>
      <c r="N54" s="55">
        <f>IF(AND(NOT(EXACT(L64,"")),NOT(EXACT(L69,"")),NOT(EXACT(L74,""))),(L64+L69+L74)*100,IF(AND(EXACT(L64,""),NOT(EXACT(L74,""))),L74*100,IF(AND(NOT(EXACT(L64,"")),EXACT(L74,"")),L64*100,0)))</f>
        <v>0</v>
      </c>
      <c r="O54" s="55" t="s">
        <v>297</v>
      </c>
      <c r="P54" s="146">
        <f>(K64+K69+K74)*100</f>
        <v>17</v>
      </c>
    </row>
    <row r="55" spans="1:16" ht="13.5" customHeight="1">
      <c r="A55" s="57"/>
      <c r="B55" s="148"/>
      <c r="C55" s="148"/>
      <c r="D55" s="148"/>
      <c r="E55" s="148"/>
      <c r="F55" s="148"/>
      <c r="G55" s="46"/>
      <c r="H55" s="46"/>
      <c r="I55" s="46"/>
      <c r="J55" s="46"/>
      <c r="K55" s="46"/>
      <c r="L55" s="46"/>
      <c r="M55" s="149" t="s">
        <v>452</v>
      </c>
      <c r="N55" s="150"/>
      <c r="O55" s="150"/>
      <c r="P55" s="65"/>
    </row>
    <row r="56" spans="1:16" ht="13.5" customHeight="1">
      <c r="A56" s="221"/>
      <c r="B56" s="222"/>
      <c r="C56" s="222"/>
      <c r="D56" s="222"/>
      <c r="E56" s="222"/>
      <c r="F56" s="222"/>
      <c r="G56" s="223"/>
      <c r="H56" s="151">
        <v>0</v>
      </c>
      <c r="I56" s="152">
        <v>0.5</v>
      </c>
      <c r="J56" s="151">
        <v>1</v>
      </c>
      <c r="K56" s="223"/>
      <c r="L56" s="67"/>
      <c r="M56" s="201"/>
      <c r="N56" s="202"/>
      <c r="O56" s="202"/>
      <c r="P56" s="199" t="s">
        <v>329</v>
      </c>
    </row>
    <row r="57" spans="1:16" ht="13.5" customHeight="1">
      <c r="A57" s="57"/>
      <c r="B57" s="148"/>
      <c r="C57" s="148"/>
      <c r="D57" s="231" t="s">
        <v>481</v>
      </c>
      <c r="E57" s="148"/>
      <c r="F57" s="559" t="s">
        <v>482</v>
      </c>
      <c r="G57" s="46"/>
      <c r="H57" s="544" t="s">
        <v>483</v>
      </c>
      <c r="I57" s="544" t="s">
        <v>477</v>
      </c>
      <c r="J57" s="544" t="s">
        <v>333</v>
      </c>
      <c r="K57" s="46"/>
      <c r="L57" s="46"/>
      <c r="M57" s="201"/>
      <c r="N57" s="202"/>
      <c r="O57" s="202"/>
      <c r="P57" s="199"/>
    </row>
    <row r="58" spans="1:16" ht="24" customHeight="1">
      <c r="A58" s="57"/>
      <c r="B58" s="148"/>
      <c r="C58" s="148"/>
      <c r="D58" s="232" t="s">
        <v>484</v>
      </c>
      <c r="E58" s="148"/>
      <c r="F58" s="559"/>
      <c r="G58" s="161"/>
      <c r="H58" s="544"/>
      <c r="I58" s="544"/>
      <c r="J58" s="544"/>
      <c r="K58" s="162" t="s">
        <v>304</v>
      </c>
      <c r="L58" s="203" t="s">
        <v>458</v>
      </c>
      <c r="M58" s="192"/>
      <c r="N58" s="46"/>
      <c r="O58" s="46"/>
      <c r="P58" s="65"/>
    </row>
    <row r="59" spans="1:16" ht="13.5" customHeight="1">
      <c r="A59" s="539" t="s">
        <v>485</v>
      </c>
      <c r="B59" s="539"/>
      <c r="C59" s="539"/>
      <c r="D59" s="189">
        <v>0</v>
      </c>
      <c r="E59" s="233"/>
      <c r="F59" s="234" t="s">
        <v>336</v>
      </c>
      <c r="G59" s="235"/>
      <c r="H59" s="236" t="str">
        <f>IF(EXACT($D59,"0"),"x","")</f>
        <v>x</v>
      </c>
      <c r="I59" s="236">
        <f>IF(AND(NOT(EXACT(D59,"")),D59&lt;20,D59&lt;&gt;0),"x","")</f>
      </c>
      <c r="J59" s="236">
        <f>IF(AND(NOT(EXACT(D59,"")),D59&lt;20),"","x")</f>
      </c>
      <c r="K59" s="224">
        <f>$K$64/5</f>
        <v>0.01</v>
      </c>
      <c r="L59" s="237">
        <f>IF(AND(EXACT(H59,""),EXACT(I59,""),EXACT(J59,"")),"",IF(NOT(EXACT(J59,"")),IF(NOT(EXACT(K59,"")),K59*$J$56,""),IF(NOT(EXACT(I59,"")),IF(NOT(EXACT(K59,"")),K59*$I$56,""),IF(NOT(EXACT(H59,"")),IF(NOT(EXACT(K59,"")),K59*$H$56,"")))))</f>
        <v>0</v>
      </c>
      <c r="M59" s="558"/>
      <c r="N59" s="558"/>
      <c r="O59" s="558"/>
      <c r="P59" s="558"/>
    </row>
    <row r="60" spans="1:16" ht="13.5" customHeight="1">
      <c r="A60" s="539" t="s">
        <v>486</v>
      </c>
      <c r="B60" s="539"/>
      <c r="C60" s="539"/>
      <c r="D60" s="189">
        <v>0</v>
      </c>
      <c r="E60" s="233"/>
      <c r="F60" s="234" t="s">
        <v>338</v>
      </c>
      <c r="G60" s="235"/>
      <c r="H60" s="236" t="str">
        <f>IF(EXACT($D60,"0"),"x","")</f>
        <v>x</v>
      </c>
      <c r="I60" s="236">
        <f>IF(AND(NOT(EXACT(D60,"")),OR(D60&lt;10,D60&gt;35),D60&lt;&gt;0),"x","")</f>
      </c>
      <c r="J60" s="236">
        <f>IF(AND(NOT(EXACT(D60,"")),OR(D60&lt;10,D60&gt;35)),"","x")</f>
      </c>
      <c r="K60" s="224">
        <f>$K$64/5</f>
        <v>0.01</v>
      </c>
      <c r="L60" s="237">
        <f>IF(AND(EXACT(H60,""),EXACT(I60,""),EXACT(J60,"")),"",IF(NOT(EXACT(J60,"")),IF(NOT(EXACT(K60,"")),K60*$J$56,""),IF(NOT(EXACT(I60,"")),IF(NOT(EXACT(K60,"")),K60*$I$56,""),IF(NOT(EXACT(H60,"")),IF(NOT(EXACT(K60,"")),K60*$H$56,"")))))</f>
        <v>0</v>
      </c>
      <c r="M60" s="558"/>
      <c r="N60" s="558"/>
      <c r="O60" s="558"/>
      <c r="P60" s="558"/>
    </row>
    <row r="61" spans="1:16" ht="13.5" customHeight="1">
      <c r="A61" s="539" t="s">
        <v>487</v>
      </c>
      <c r="B61" s="539"/>
      <c r="C61" s="539"/>
      <c r="D61" s="189">
        <v>0</v>
      </c>
      <c r="E61" s="233"/>
      <c r="F61" s="234" t="s">
        <v>340</v>
      </c>
      <c r="G61" s="235"/>
      <c r="H61" s="236" t="str">
        <f>IF(EXACT($D61,"0"),"x","")</f>
        <v>x</v>
      </c>
      <c r="I61" s="236">
        <f>IF(AND(NOT(EXACT(D61,"")),OR(D61&lt;10,D61&gt;40),D61&lt;&gt;0),"x","")</f>
      </c>
      <c r="J61" s="236">
        <f>IF(AND(NOT(EXACT(D61,"")),OR(D61&lt;10,D61&gt;40)),"","x")</f>
      </c>
      <c r="K61" s="224">
        <f>$K$64/5</f>
        <v>0.01</v>
      </c>
      <c r="L61" s="237">
        <f>IF(AND(EXACT(H61,""),EXACT(I61,""),EXACT(J61,"")),"",IF(NOT(EXACT(J61,"")),IF(NOT(EXACT(K61,"")),K61*$J$56,""),IF(NOT(EXACT(I61,"")),IF(NOT(EXACT(K61,"")),K61*$I$56,""),IF(NOT(EXACT(H61,"")),IF(NOT(EXACT(K61,"")),K61*$H$56,"")))))</f>
        <v>0</v>
      </c>
      <c r="M61" s="558"/>
      <c r="N61" s="558"/>
      <c r="O61" s="558"/>
      <c r="P61" s="558"/>
    </row>
    <row r="62" spans="1:16" ht="13.5" customHeight="1">
      <c r="A62" s="539" t="s">
        <v>488</v>
      </c>
      <c r="B62" s="539"/>
      <c r="C62" s="539"/>
      <c r="D62" s="189">
        <v>0</v>
      </c>
      <c r="E62" s="233"/>
      <c r="F62" s="234" t="s">
        <v>342</v>
      </c>
      <c r="G62" s="235"/>
      <c r="H62" s="236" t="str">
        <f>IF(EXACT($D62,"0"),"x","")</f>
        <v>x</v>
      </c>
      <c r="I62" s="236">
        <f>IF(AND(NOT(EXACT(D62,"")),OR(D62&lt;2,D62&gt;6),D62&lt;&gt;0),"x","")</f>
      </c>
      <c r="J62" s="236">
        <f>IF(AND(NOT(EXACT(D62,"")),OR(D62&lt;2,D62&gt;6)),"","x")</f>
      </c>
      <c r="K62" s="224">
        <f>$K$64/5</f>
        <v>0.01</v>
      </c>
      <c r="L62" s="237">
        <f>IF(AND(EXACT(H62,""),EXACT(I62,""),EXACT(J62,"")),"",IF(NOT(EXACT(J62,"")),IF(NOT(EXACT(K62,"")),K62*$J$56,""),IF(NOT(EXACT(I62,"")),IF(NOT(EXACT(K62,"")),K62*$I$56,""),IF(NOT(EXACT(H62,"")),IF(NOT(EXACT(K62,"")),K62*$H$56,"")))))</f>
        <v>0</v>
      </c>
      <c r="M62" s="558"/>
      <c r="N62" s="558"/>
      <c r="O62" s="558"/>
      <c r="P62" s="558"/>
    </row>
    <row r="63" spans="1:16" ht="13.5" customHeight="1">
      <c r="A63" s="539" t="s">
        <v>489</v>
      </c>
      <c r="B63" s="539"/>
      <c r="C63" s="539"/>
      <c r="D63" s="189">
        <v>0</v>
      </c>
      <c r="E63" s="233"/>
      <c r="F63" s="234" t="s">
        <v>344</v>
      </c>
      <c r="G63" s="235"/>
      <c r="H63" s="236" t="str">
        <f>IF(EXACT($D63,"0"),"x","")</f>
        <v>x</v>
      </c>
      <c r="I63" s="236">
        <f>IF(AND(NOT(EXACT(D63,"")),D63&lt;=40,D63&lt;&gt;0),"x","")</f>
      </c>
      <c r="J63" s="236">
        <f>IF(AND(NOT(EXACT(D63,"")),D63&lt;=40),"","x")</f>
      </c>
      <c r="K63" s="224">
        <f>$K$64/5</f>
        <v>0.01</v>
      </c>
      <c r="L63" s="237">
        <f>IF(AND(EXACT(H63,""),EXACT(I63,""),EXACT(J63,"")),"",IF(NOT(EXACT(J63,"")),IF(NOT(EXACT(K63,"")),K63*$J$56,""),IF(NOT(EXACT(I63,"")),IF(NOT(EXACT(K63,"")),K63*$I$56,""),IF(NOT(EXACT(H63,"")),IF(NOT(EXACT(K63,"")),K63*$H$56,"")))))</f>
        <v>0</v>
      </c>
      <c r="M63" s="558"/>
      <c r="N63" s="558"/>
      <c r="O63" s="558"/>
      <c r="P63" s="558"/>
    </row>
    <row r="64" spans="1:17" ht="13.5" customHeight="1">
      <c r="A64" s="57"/>
      <c r="B64" s="148"/>
      <c r="C64" s="148"/>
      <c r="D64" s="148"/>
      <c r="E64" s="148"/>
      <c r="F64" s="148"/>
      <c r="G64" s="65"/>
      <c r="H64" s="540" t="s">
        <v>296</v>
      </c>
      <c r="I64" s="540"/>
      <c r="J64" s="540"/>
      <c r="K64" s="171">
        <v>0.05</v>
      </c>
      <c r="L64" s="225">
        <f>SUM(L59:L63)</f>
        <v>0</v>
      </c>
      <c r="M64" s="192"/>
      <c r="N64" s="46"/>
      <c r="O64" s="46"/>
      <c r="P64" s="65"/>
      <c r="Q64" s="46"/>
    </row>
    <row r="65" spans="1:17" ht="13.5" customHeight="1">
      <c r="A65" s="192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192"/>
      <c r="N65" s="46"/>
      <c r="O65" s="46"/>
      <c r="P65" s="65"/>
      <c r="Q65" s="46"/>
    </row>
    <row r="66" spans="1:17" ht="12">
      <c r="A66" s="221"/>
      <c r="B66" s="222"/>
      <c r="C66" s="222"/>
      <c r="D66" s="222"/>
      <c r="E66" s="222"/>
      <c r="F66" s="222"/>
      <c r="G66" s="223"/>
      <c r="H66" s="151">
        <v>0</v>
      </c>
      <c r="I66" s="152">
        <v>0.5</v>
      </c>
      <c r="J66" s="151">
        <v>1</v>
      </c>
      <c r="K66" s="223"/>
      <c r="L66" s="67"/>
      <c r="M66" s="192"/>
      <c r="N66" s="46"/>
      <c r="O66" s="46"/>
      <c r="P66" s="65"/>
      <c r="Q66" s="46"/>
    </row>
    <row r="67" spans="1:17" ht="39" customHeight="1">
      <c r="A67" s="57"/>
      <c r="B67" s="148"/>
      <c r="C67" s="148"/>
      <c r="D67" s="148"/>
      <c r="E67" s="148"/>
      <c r="F67" s="148"/>
      <c r="G67" s="161"/>
      <c r="H67" s="229" t="s">
        <v>453</v>
      </c>
      <c r="I67" s="229" t="s">
        <v>490</v>
      </c>
      <c r="J67" s="229" t="s">
        <v>455</v>
      </c>
      <c r="K67" s="162" t="s">
        <v>304</v>
      </c>
      <c r="L67" s="163" t="s">
        <v>458</v>
      </c>
      <c r="P67" s="65"/>
      <c r="Q67" s="46"/>
    </row>
    <row r="68" spans="1:17" ht="13.5" customHeight="1">
      <c r="A68" s="539" t="s">
        <v>491</v>
      </c>
      <c r="B68" s="539"/>
      <c r="C68" s="539"/>
      <c r="D68" s="539"/>
      <c r="E68" s="539"/>
      <c r="F68" s="539"/>
      <c r="G68" s="539"/>
      <c r="H68" s="164"/>
      <c r="I68" s="165"/>
      <c r="J68" s="166"/>
      <c r="K68" s="167"/>
      <c r="L68" s="167"/>
      <c r="P68" s="65"/>
      <c r="Q68" s="46"/>
    </row>
    <row r="69" spans="1:17" ht="12">
      <c r="A69" s="57"/>
      <c r="B69" s="148"/>
      <c r="C69" s="148"/>
      <c r="D69" s="148"/>
      <c r="E69" s="148"/>
      <c r="F69" s="148"/>
      <c r="G69" s="65"/>
      <c r="H69" s="540" t="s">
        <v>296</v>
      </c>
      <c r="I69" s="540"/>
      <c r="J69" s="540"/>
      <c r="K69" s="171">
        <v>0.08</v>
      </c>
      <c r="L69" s="230">
        <f>IF(AND(EXACT(H68,""),EXACT(I68,""),EXACT(J68,"")),"",IF(NOT(EXACT(J68,"")),IF(NOT(EXACT(K69,"")),K69*J66,""),IF(NOT(EXACT(I68,"")),IF(NOT(EXACT(K69,"")),K69*I66,""),IF(NOT(EXACT(H68,"")),IF(NOT(EXACT(K69,"")),K69*H66,"")))))</f>
      </c>
      <c r="P69" s="65"/>
      <c r="Q69" s="46"/>
    </row>
    <row r="70" spans="1:17" ht="12">
      <c r="A70" s="219"/>
      <c r="B70" s="240"/>
      <c r="C70" s="240"/>
      <c r="D70" s="240"/>
      <c r="E70" s="240"/>
      <c r="F70" s="240"/>
      <c r="G70" s="240"/>
      <c r="H70" s="159"/>
      <c r="I70" s="159"/>
      <c r="J70" s="159"/>
      <c r="K70" s="241"/>
      <c r="L70" s="241"/>
      <c r="P70" s="65"/>
      <c r="Q70" s="46"/>
    </row>
    <row r="71" spans="1:17" ht="12">
      <c r="A71" s="221"/>
      <c r="B71" s="222"/>
      <c r="C71" s="222"/>
      <c r="D71" s="222"/>
      <c r="E71" s="222"/>
      <c r="F71" s="222"/>
      <c r="G71" s="223"/>
      <c r="H71" s="151">
        <v>0.25</v>
      </c>
      <c r="I71" s="152">
        <v>0.5</v>
      </c>
      <c r="J71" s="151">
        <v>1</v>
      </c>
      <c r="K71" s="223"/>
      <c r="L71" s="67"/>
      <c r="M71" s="192"/>
      <c r="N71" s="46"/>
      <c r="O71" s="46"/>
      <c r="P71" s="65"/>
      <c r="Q71" s="46"/>
    </row>
    <row r="72" spans="1:17" ht="33.75" customHeight="1">
      <c r="A72" s="57"/>
      <c r="B72" s="148"/>
      <c r="C72" s="148"/>
      <c r="D72" s="148"/>
      <c r="E72" s="148"/>
      <c r="F72" s="148"/>
      <c r="G72" s="161"/>
      <c r="H72" s="229" t="s">
        <v>492</v>
      </c>
      <c r="I72" s="229" t="s">
        <v>464</v>
      </c>
      <c r="J72" s="229" t="s">
        <v>493</v>
      </c>
      <c r="K72" s="162" t="s">
        <v>304</v>
      </c>
      <c r="L72" s="163" t="s">
        <v>458</v>
      </c>
      <c r="M72" s="46"/>
      <c r="N72" s="46"/>
      <c r="O72" s="46"/>
      <c r="P72" s="65"/>
      <c r="Q72" s="46"/>
    </row>
    <row r="73" spans="1:17" ht="12">
      <c r="A73" s="539" t="s">
        <v>494</v>
      </c>
      <c r="B73" s="539"/>
      <c r="C73" s="539"/>
      <c r="D73" s="539"/>
      <c r="E73" s="539"/>
      <c r="F73" s="539"/>
      <c r="G73" s="539"/>
      <c r="H73" s="208"/>
      <c r="I73" s="166"/>
      <c r="J73" s="166"/>
      <c r="K73" s="167"/>
      <c r="L73" s="167"/>
      <c r="M73" s="46"/>
      <c r="N73" s="46"/>
      <c r="O73" s="46"/>
      <c r="P73" s="65"/>
      <c r="Q73" s="46"/>
    </row>
    <row r="74" spans="1:17" ht="12">
      <c r="A74" s="57"/>
      <c r="B74" s="148"/>
      <c r="C74" s="148"/>
      <c r="D74" s="148"/>
      <c r="E74" s="148"/>
      <c r="F74" s="148"/>
      <c r="G74" s="65"/>
      <c r="H74" s="540" t="s">
        <v>296</v>
      </c>
      <c r="I74" s="540"/>
      <c r="J74" s="540"/>
      <c r="K74" s="171">
        <v>0.04</v>
      </c>
      <c r="L74" s="230">
        <f>IF(AND(EXACT(H73,""),EXACT(I73,""),EXACT(J73,"")),"",IF(NOT(EXACT(J73,"")),IF(NOT(EXACT(K74,"")),K74*J71,""),IF(NOT(EXACT(I73,"")),IF(NOT(EXACT(K74,"")),K74*I71,""),IF(NOT(EXACT(H73,"")),IF(NOT(EXACT(K74,"")),K74*H71,"")))))</f>
      </c>
      <c r="M74" s="46"/>
      <c r="N74" s="46"/>
      <c r="O74" s="46"/>
      <c r="P74" s="65"/>
      <c r="Q74" s="46"/>
    </row>
    <row r="75" spans="1:17" ht="12">
      <c r="A75" s="219"/>
      <c r="B75" s="240"/>
      <c r="C75" s="240"/>
      <c r="D75" s="240"/>
      <c r="E75" s="240"/>
      <c r="F75" s="240"/>
      <c r="G75" s="240"/>
      <c r="H75" s="159"/>
      <c r="I75" s="159"/>
      <c r="J75" s="159"/>
      <c r="K75" s="241"/>
      <c r="L75" s="241"/>
      <c r="M75" s="219"/>
      <c r="N75" s="175"/>
      <c r="O75" s="175"/>
      <c r="P75" s="68"/>
      <c r="Q75" s="46"/>
    </row>
    <row r="76" spans="1:6" ht="13.5" customHeight="1">
      <c r="A76" s="66"/>
      <c r="B76" s="66"/>
      <c r="C76" s="66"/>
      <c r="D76" s="66"/>
      <c r="E76" s="66"/>
      <c r="F76" s="66"/>
    </row>
    <row r="77" spans="1:17" ht="15">
      <c r="A77" s="54" t="s">
        <v>449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 t="s">
        <v>296</v>
      </c>
      <c r="N77" s="145">
        <f>IF(AND(NOT(EXACT(L85,"")),NOT(EXACT(L90,"")),NOT(EXACT(L95,""))),(L85+L90+L95)*100,0)</f>
        <v>0</v>
      </c>
      <c r="O77" s="55" t="s">
        <v>297</v>
      </c>
      <c r="P77" s="146">
        <f>(K85+K90+K95)*100</f>
        <v>28.000000000000004</v>
      </c>
      <c r="Q77" s="180"/>
    </row>
    <row r="78" spans="1:17" ht="13.5" customHeight="1">
      <c r="A78" s="57"/>
      <c r="B78" s="148"/>
      <c r="C78" s="148"/>
      <c r="D78" s="148"/>
      <c r="E78" s="148"/>
      <c r="F78" s="148"/>
      <c r="G78" s="46"/>
      <c r="H78" s="46"/>
      <c r="I78" s="46"/>
      <c r="J78" s="46"/>
      <c r="K78" s="46"/>
      <c r="L78" s="46"/>
      <c r="M78" s="149" t="s">
        <v>452</v>
      </c>
      <c r="N78" s="150"/>
      <c r="O78" s="150"/>
      <c r="P78" s="65"/>
      <c r="Q78" s="46"/>
    </row>
    <row r="79" spans="1:17" ht="12">
      <c r="A79" s="221"/>
      <c r="B79" s="222"/>
      <c r="C79" s="222"/>
      <c r="D79" s="222"/>
      <c r="E79" s="222"/>
      <c r="F79" s="222"/>
      <c r="G79" s="223"/>
      <c r="H79" s="151">
        <v>0</v>
      </c>
      <c r="I79" s="152">
        <v>0.5</v>
      </c>
      <c r="J79" s="152">
        <v>1</v>
      </c>
      <c r="K79" s="223"/>
      <c r="L79" s="67"/>
      <c r="M79" s="201"/>
      <c r="N79" s="202"/>
      <c r="O79" s="202"/>
      <c r="P79" s="65"/>
      <c r="Q79" s="46"/>
    </row>
    <row r="80" spans="1:17" ht="13.5" customHeight="1">
      <c r="A80" s="57"/>
      <c r="B80" s="148"/>
      <c r="C80" s="148"/>
      <c r="D80" s="153"/>
      <c r="E80" s="148"/>
      <c r="F80" s="543"/>
      <c r="G80" s="46"/>
      <c r="H80" s="544" t="s">
        <v>495</v>
      </c>
      <c r="I80" s="544" t="s">
        <v>464</v>
      </c>
      <c r="J80" s="544" t="s">
        <v>465</v>
      </c>
      <c r="K80" s="46"/>
      <c r="L80" s="46"/>
      <c r="M80" s="155"/>
      <c r="N80" s="156"/>
      <c r="O80" s="156"/>
      <c r="P80" s="65"/>
      <c r="Q80" s="46"/>
    </row>
    <row r="81" spans="1:17" ht="24" customHeight="1">
      <c r="A81" s="157" t="s">
        <v>496</v>
      </c>
      <c r="B81" s="148"/>
      <c r="C81" s="148"/>
      <c r="D81" s="158"/>
      <c r="E81" s="159"/>
      <c r="F81" s="543"/>
      <c r="G81" s="161"/>
      <c r="H81" s="544"/>
      <c r="I81" s="544"/>
      <c r="J81" s="544"/>
      <c r="K81" s="162" t="s">
        <v>304</v>
      </c>
      <c r="L81" s="203" t="s">
        <v>458</v>
      </c>
      <c r="M81" s="155" t="s">
        <v>456</v>
      </c>
      <c r="N81" s="156"/>
      <c r="O81" s="156"/>
      <c r="P81" s="65"/>
      <c r="Q81" s="46"/>
    </row>
    <row r="82" spans="1:17" ht="12.75" customHeight="1">
      <c r="A82" s="539" t="s">
        <v>497</v>
      </c>
      <c r="B82" s="539"/>
      <c r="C82" s="539"/>
      <c r="D82" s="539"/>
      <c r="E82" s="539"/>
      <c r="F82" s="539"/>
      <c r="G82" s="539"/>
      <c r="H82" s="208"/>
      <c r="I82" s="208"/>
      <c r="J82" s="208"/>
      <c r="K82" s="224">
        <v>0.05</v>
      </c>
      <c r="L82" s="210">
        <f>IF(AND(EXACT(H82,""),EXACT(I82,""),EXACT(J82,"")),"",IF(NOT(EXACT(J82,"")),IF(NOT(EXACT(K82,"")),K82*$J$79,""),IF(NOT(EXACT(I82,"")),IF(NOT(EXACT(K82,"")),K82*$I$79,""),IF(NOT(EXACT(H82,"")),IF(NOT(EXACT(K82,"")),K82*$H$79,"")))))</f>
      </c>
      <c r="M82" s="557" t="s">
        <v>498</v>
      </c>
      <c r="N82" s="557"/>
      <c r="O82" s="557"/>
      <c r="P82" s="557"/>
      <c r="Q82" s="46"/>
    </row>
    <row r="83" spans="1:17" ht="12">
      <c r="A83" s="539" t="s">
        <v>499</v>
      </c>
      <c r="B83" s="539"/>
      <c r="C83" s="539"/>
      <c r="D83" s="539"/>
      <c r="E83" s="539"/>
      <c r="F83" s="539"/>
      <c r="G83" s="539"/>
      <c r="H83" s="208"/>
      <c r="I83" s="208"/>
      <c r="J83" s="208"/>
      <c r="K83" s="224">
        <v>0.02</v>
      </c>
      <c r="L83" s="210">
        <f>IF(AND(EXACT(H83,""),EXACT(I83,""),EXACT(J83,"")),"",IF(NOT(EXACT(J83,"")),IF(NOT(EXACT(K83,"")),K83*$J$79,""),IF(NOT(EXACT(I83,"")),IF(NOT(EXACT(K83,"")),K83*$I$79,""),IF(NOT(EXACT(H83,"")),IF(NOT(EXACT(K83,"")),K83*$H$79,"")))))</f>
      </c>
      <c r="M83" s="557"/>
      <c r="N83" s="557"/>
      <c r="O83" s="557"/>
      <c r="P83" s="557"/>
      <c r="Q83" s="48"/>
    </row>
    <row r="84" spans="1:17" ht="12">
      <c r="A84" s="539" t="s">
        <v>500</v>
      </c>
      <c r="B84" s="539"/>
      <c r="C84" s="539"/>
      <c r="D84" s="539"/>
      <c r="E84" s="539"/>
      <c r="F84" s="539"/>
      <c r="G84" s="539"/>
      <c r="H84" s="208"/>
      <c r="I84" s="208"/>
      <c r="J84" s="208"/>
      <c r="K84" s="224">
        <v>0.03</v>
      </c>
      <c r="L84" s="210">
        <f>IF(AND(EXACT(H84,""),EXACT(I84,""),EXACT(J84,"")),"",IF(NOT(EXACT(J84,"")),IF(NOT(EXACT(K84,"")),K84*$J$79,""),IF(NOT(EXACT(I84,"")),IF(NOT(EXACT(K84,"")),K84*$I$79,""),IF(NOT(EXACT(H84,"")),IF(NOT(EXACT(K84,"")),K84*$H$79,"")))))</f>
      </c>
      <c r="M84" s="557"/>
      <c r="N84" s="557"/>
      <c r="O84" s="557"/>
      <c r="P84" s="557"/>
      <c r="Q84" s="48"/>
    </row>
    <row r="85" spans="1:17" ht="12">
      <c r="A85" s="168"/>
      <c r="B85" s="148"/>
      <c r="C85" s="148"/>
      <c r="D85" s="169"/>
      <c r="E85" s="148"/>
      <c r="F85" s="169"/>
      <c r="G85" s="48"/>
      <c r="H85" s="540" t="s">
        <v>296</v>
      </c>
      <c r="I85" s="540"/>
      <c r="J85" s="540"/>
      <c r="K85" s="171">
        <f>SUM(K82:K84)</f>
        <v>0.1</v>
      </c>
      <c r="L85" s="225">
        <f>IF(AND(OR(NOT(EXACT(H82,"")),NOT(EXACT(I82,"")),NOT(EXACT(J82,""))),OR(NOT(EXACT(H83,"")),NOT(EXACT(I83,"")),NOT(EXACT(J83,"")))),SUM(L82:L84),"")</f>
      </c>
      <c r="M85" s="557"/>
      <c r="N85" s="557"/>
      <c r="O85" s="557"/>
      <c r="P85" s="557"/>
      <c r="Q85" s="48"/>
    </row>
    <row r="86" spans="1:17" ht="12">
      <c r="A86" s="192"/>
      <c r="B86" s="161"/>
      <c r="C86" s="161"/>
      <c r="D86" s="161"/>
      <c r="E86" s="161"/>
      <c r="F86" s="161"/>
      <c r="G86" s="161"/>
      <c r="H86" s="148"/>
      <c r="I86" s="148"/>
      <c r="J86" s="148"/>
      <c r="K86" s="220"/>
      <c r="L86" s="220"/>
      <c r="M86" s="557"/>
      <c r="N86" s="557"/>
      <c r="O86" s="557"/>
      <c r="P86" s="557"/>
      <c r="Q86" s="46"/>
    </row>
    <row r="87" spans="1:17" ht="12">
      <c r="A87" s="221"/>
      <c r="B87" s="222"/>
      <c r="C87" s="222"/>
      <c r="D87" s="222"/>
      <c r="E87" s="222"/>
      <c r="F87" s="222"/>
      <c r="G87" s="223"/>
      <c r="H87" s="151">
        <v>0.25</v>
      </c>
      <c r="I87" s="152">
        <v>0.5</v>
      </c>
      <c r="J87" s="151">
        <v>1</v>
      </c>
      <c r="K87" s="223"/>
      <c r="L87" s="67"/>
      <c r="M87" s="557"/>
      <c r="N87" s="557"/>
      <c r="O87" s="557"/>
      <c r="P87" s="557"/>
      <c r="Q87" s="46"/>
    </row>
    <row r="88" spans="1:17" ht="48">
      <c r="A88" s="57"/>
      <c r="B88" s="148"/>
      <c r="C88" s="148"/>
      <c r="D88" s="148"/>
      <c r="E88" s="148"/>
      <c r="F88" s="148"/>
      <c r="G88" s="161"/>
      <c r="H88" s="229" t="s">
        <v>501</v>
      </c>
      <c r="I88" s="229" t="s">
        <v>502</v>
      </c>
      <c r="J88" s="229" t="s">
        <v>503</v>
      </c>
      <c r="K88" s="162" t="s">
        <v>304</v>
      </c>
      <c r="L88" s="163" t="s">
        <v>458</v>
      </c>
      <c r="M88" s="46"/>
      <c r="N88" s="46"/>
      <c r="O88" s="46"/>
      <c r="P88" s="65"/>
      <c r="Q88" s="46"/>
    </row>
    <row r="89" spans="1:17" ht="12">
      <c r="A89" s="539" t="s">
        <v>504</v>
      </c>
      <c r="B89" s="539"/>
      <c r="C89" s="539"/>
      <c r="D89" s="539"/>
      <c r="E89" s="539"/>
      <c r="F89" s="539"/>
      <c r="G89" s="539"/>
      <c r="H89" s="208"/>
      <c r="I89" s="166"/>
      <c r="J89" s="166"/>
      <c r="K89" s="167"/>
      <c r="L89" s="167"/>
      <c r="M89" s="46"/>
      <c r="N89" s="46"/>
      <c r="O89" s="46"/>
      <c r="P89" s="65"/>
      <c r="Q89" s="46"/>
    </row>
    <row r="90" spans="1:17" ht="12">
      <c r="A90" s="57"/>
      <c r="B90" s="148"/>
      <c r="C90" s="148"/>
      <c r="D90" s="148"/>
      <c r="E90" s="148"/>
      <c r="F90" s="148"/>
      <c r="G90" s="65"/>
      <c r="H90" s="540" t="s">
        <v>296</v>
      </c>
      <c r="I90" s="540"/>
      <c r="J90" s="540"/>
      <c r="K90" s="171">
        <v>0.08</v>
      </c>
      <c r="L90" s="230">
        <f>IF(AND(EXACT(H89,""),EXACT(I89,""),EXACT(J89,"")),"",IF(NOT(EXACT(J89,"")),IF(NOT(EXACT(K90,"")),K90*J87,""),IF(NOT(EXACT(I89,"")),IF(NOT(EXACT(K90,"")),K90*I87,""),IF(NOT(EXACT(H89,"")),IF(NOT(EXACT(K90,"")),K90*H87,"")))))</f>
      </c>
      <c r="M90" s="46"/>
      <c r="N90" s="46"/>
      <c r="O90" s="46"/>
      <c r="P90" s="65"/>
      <c r="Q90" s="46"/>
    </row>
    <row r="91" spans="1:17" ht="12">
      <c r="A91" s="192"/>
      <c r="B91" s="161"/>
      <c r="C91" s="161"/>
      <c r="D91" s="161"/>
      <c r="E91" s="161"/>
      <c r="F91" s="161"/>
      <c r="G91" s="161"/>
      <c r="H91" s="148"/>
      <c r="I91" s="148"/>
      <c r="J91" s="148"/>
      <c r="K91" s="220"/>
      <c r="L91" s="220"/>
      <c r="M91" s="192"/>
      <c r="N91" s="46"/>
      <c r="O91" s="46"/>
      <c r="P91" s="65"/>
      <c r="Q91" s="46"/>
    </row>
    <row r="92" spans="1:17" ht="12">
      <c r="A92" s="221"/>
      <c r="B92" s="222"/>
      <c r="C92" s="222"/>
      <c r="D92" s="222"/>
      <c r="E92" s="222"/>
      <c r="F92" s="222"/>
      <c r="G92" s="223"/>
      <c r="H92" s="151">
        <v>0</v>
      </c>
      <c r="I92" s="152">
        <v>0.5</v>
      </c>
      <c r="J92" s="151">
        <v>1</v>
      </c>
      <c r="K92" s="223"/>
      <c r="L92" s="67"/>
      <c r="M92" s="192"/>
      <c r="N92" s="46"/>
      <c r="O92" s="46"/>
      <c r="P92" s="65"/>
      <c r="Q92" s="46"/>
    </row>
    <row r="93" spans="1:17" ht="31.5" customHeight="1">
      <c r="A93" s="57"/>
      <c r="B93" s="148"/>
      <c r="C93" s="148"/>
      <c r="D93" s="148"/>
      <c r="E93" s="148"/>
      <c r="F93" s="148"/>
      <c r="G93" s="161"/>
      <c r="H93" s="229" t="s">
        <v>453</v>
      </c>
      <c r="I93" s="229" t="s">
        <v>505</v>
      </c>
      <c r="J93" s="229" t="s">
        <v>506</v>
      </c>
      <c r="K93" s="162" t="s">
        <v>304</v>
      </c>
      <c r="L93" s="163" t="s">
        <v>458</v>
      </c>
      <c r="M93" s="155" t="s">
        <v>456</v>
      </c>
      <c r="N93" s="156"/>
      <c r="O93" s="156"/>
      <c r="P93" s="65"/>
      <c r="Q93" s="46"/>
    </row>
    <row r="94" spans="1:17" ht="12.75" customHeight="1">
      <c r="A94" s="539" t="s">
        <v>507</v>
      </c>
      <c r="B94" s="539"/>
      <c r="C94" s="539"/>
      <c r="D94" s="539"/>
      <c r="E94" s="539"/>
      <c r="F94" s="539"/>
      <c r="G94" s="539"/>
      <c r="H94" s="208"/>
      <c r="I94" s="166"/>
      <c r="J94" s="166"/>
      <c r="K94" s="167"/>
      <c r="L94" s="167"/>
      <c r="M94" s="572" t="s">
        <v>508</v>
      </c>
      <c r="N94" s="572"/>
      <c r="O94" s="572"/>
      <c r="P94" s="572"/>
      <c r="Q94" s="46"/>
    </row>
    <row r="95" spans="1:17" ht="12">
      <c r="A95" s="57"/>
      <c r="B95" s="148"/>
      <c r="C95" s="148"/>
      <c r="D95" s="148"/>
      <c r="E95" s="148"/>
      <c r="F95" s="148"/>
      <c r="G95" s="65"/>
      <c r="H95" s="540" t="s">
        <v>296</v>
      </c>
      <c r="I95" s="540"/>
      <c r="J95" s="540"/>
      <c r="K95" s="171">
        <v>0.1</v>
      </c>
      <c r="L95" s="230">
        <f>IF(AND(EXACT(H94,""),EXACT(I94,""),EXACT(J94,"")),"",IF(NOT(EXACT(J94,"")),IF(NOT(EXACT(K95,"")),K95*J92,""),IF(NOT(EXACT(I94,"")),IF(NOT(EXACT(K95,"")),K95*I92,""),IF(NOT(EXACT(H94,"")),IF(NOT(EXACT(K95,"")),K95*H92,"")))))</f>
      </c>
      <c r="M95" s="572"/>
      <c r="N95" s="572"/>
      <c r="O95" s="572"/>
      <c r="P95" s="572"/>
      <c r="Q95" s="46"/>
    </row>
    <row r="96" spans="1:17" ht="13.5" customHeight="1">
      <c r="A96" s="219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572"/>
      <c r="N96" s="572"/>
      <c r="O96" s="572"/>
      <c r="P96" s="572"/>
      <c r="Q96" s="46"/>
    </row>
    <row r="97" spans="1:6" ht="7.5" customHeight="1">
      <c r="A97" s="242"/>
      <c r="B97" s="242"/>
      <c r="C97" s="242"/>
      <c r="D97" s="242"/>
      <c r="E97" s="242"/>
      <c r="F97" s="242"/>
    </row>
    <row r="98" spans="1:17" s="180" customFormat="1" ht="15">
      <c r="A98" s="54" t="s">
        <v>445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 t="s">
        <v>296</v>
      </c>
      <c r="N98" s="145">
        <f>IF(NOT(EXACT(L105,"")),L105*100,0)</f>
        <v>0</v>
      </c>
      <c r="O98" s="55" t="s">
        <v>297</v>
      </c>
      <c r="P98" s="146">
        <f>K105*100</f>
        <v>14.000000000000002</v>
      </c>
      <c r="Q98" s="243"/>
    </row>
    <row r="99" spans="1:246" s="46" customFormat="1" ht="12">
      <c r="A99" s="57"/>
      <c r="B99" s="148"/>
      <c r="C99" s="148"/>
      <c r="D99" s="148"/>
      <c r="E99" s="148"/>
      <c r="F99" s="222"/>
      <c r="G99" s="223"/>
      <c r="H99" s="223"/>
      <c r="I99" s="223"/>
      <c r="J99" s="223"/>
      <c r="K99" s="223"/>
      <c r="L99" s="67"/>
      <c r="M99" s="244"/>
      <c r="N99" s="223"/>
      <c r="O99" s="223"/>
      <c r="P99" s="67"/>
      <c r="Q99" s="57"/>
      <c r="R99" s="148"/>
      <c r="S99" s="148"/>
      <c r="T99" s="148"/>
      <c r="U99" s="148"/>
      <c r="V99" s="148"/>
      <c r="AG99" s="148"/>
      <c r="AH99" s="148"/>
      <c r="AI99" s="148"/>
      <c r="AJ99" s="148"/>
      <c r="AK99" s="148"/>
      <c r="AL99" s="148"/>
      <c r="AW99" s="148"/>
      <c r="AX99" s="148"/>
      <c r="AY99" s="148"/>
      <c r="AZ99" s="148"/>
      <c r="BA99" s="148"/>
      <c r="BB99" s="148"/>
      <c r="BM99" s="148"/>
      <c r="BN99" s="148"/>
      <c r="BO99" s="148"/>
      <c r="BP99" s="148"/>
      <c r="BQ99" s="148"/>
      <c r="BR99" s="148"/>
      <c r="CC99" s="148"/>
      <c r="CD99" s="148"/>
      <c r="CE99" s="148"/>
      <c r="CF99" s="148"/>
      <c r="CG99" s="148"/>
      <c r="CH99" s="148"/>
      <c r="CS99" s="148"/>
      <c r="CT99" s="148"/>
      <c r="CU99" s="148"/>
      <c r="CV99" s="148"/>
      <c r="CW99" s="148"/>
      <c r="CX99" s="148"/>
      <c r="DI99" s="148"/>
      <c r="DJ99" s="148"/>
      <c r="DK99" s="148"/>
      <c r="DL99" s="148"/>
      <c r="DM99" s="148"/>
      <c r="DN99" s="148"/>
      <c r="DY99" s="148"/>
      <c r="DZ99" s="148"/>
      <c r="EA99" s="148"/>
      <c r="EB99" s="148"/>
      <c r="EC99" s="148"/>
      <c r="ED99" s="148"/>
      <c r="EO99" s="148"/>
      <c r="EP99" s="148"/>
      <c r="EQ99" s="148"/>
      <c r="ER99" s="148"/>
      <c r="ES99" s="148"/>
      <c r="ET99" s="148"/>
      <c r="FE99" s="148"/>
      <c r="FF99" s="148"/>
      <c r="FG99" s="148"/>
      <c r="FH99" s="148"/>
      <c r="FI99" s="148"/>
      <c r="FJ99" s="148"/>
      <c r="FU99" s="148"/>
      <c r="FV99" s="148"/>
      <c r="FW99" s="148"/>
      <c r="FX99" s="148"/>
      <c r="FY99" s="148"/>
      <c r="FZ99" s="148"/>
      <c r="GK99" s="148"/>
      <c r="GL99" s="148"/>
      <c r="GM99" s="148"/>
      <c r="GN99" s="148"/>
      <c r="GO99" s="148"/>
      <c r="GP99" s="148"/>
      <c r="HA99" s="148"/>
      <c r="HB99" s="148"/>
      <c r="HC99" s="148"/>
      <c r="HD99" s="148"/>
      <c r="HE99" s="148"/>
      <c r="HF99" s="148"/>
      <c r="HQ99" s="148"/>
      <c r="HR99" s="148"/>
      <c r="HS99" s="148"/>
      <c r="HT99" s="148"/>
      <c r="HU99" s="148"/>
      <c r="HV99" s="148"/>
      <c r="IG99" s="148"/>
      <c r="IH99" s="148"/>
      <c r="II99" s="148"/>
      <c r="IJ99" s="148"/>
      <c r="IK99" s="148"/>
      <c r="IL99" s="148"/>
    </row>
    <row r="100" spans="1:17" s="46" customFormat="1" ht="12">
      <c r="A100" s="221"/>
      <c r="B100" s="222"/>
      <c r="C100" s="222"/>
      <c r="D100" s="222"/>
      <c r="E100" s="222"/>
      <c r="F100" s="222"/>
      <c r="G100" s="223"/>
      <c r="H100" s="151">
        <v>0</v>
      </c>
      <c r="I100" s="152">
        <v>0.5</v>
      </c>
      <c r="J100" s="151">
        <v>1</v>
      </c>
      <c r="K100" s="223"/>
      <c r="L100" s="67"/>
      <c r="M100" s="192"/>
      <c r="P100" s="65"/>
      <c r="Q100" s="192"/>
    </row>
    <row r="101" spans="1:17" s="46" customFormat="1" ht="30" customHeight="1">
      <c r="A101" s="157"/>
      <c r="B101" s="148"/>
      <c r="C101" s="148"/>
      <c r="D101" s="148"/>
      <c r="E101" s="148"/>
      <c r="F101" s="148"/>
      <c r="G101" s="161"/>
      <c r="H101" s="229" t="s">
        <v>453</v>
      </c>
      <c r="I101" s="229" t="s">
        <v>454</v>
      </c>
      <c r="J101" s="229" t="s">
        <v>455</v>
      </c>
      <c r="K101" s="162" t="s">
        <v>304</v>
      </c>
      <c r="L101" s="163" t="s">
        <v>458</v>
      </c>
      <c r="P101" s="65"/>
      <c r="Q101" s="192"/>
    </row>
    <row r="102" spans="1:17" s="46" customFormat="1" ht="12">
      <c r="A102" s="539" t="s">
        <v>509</v>
      </c>
      <c r="B102" s="539"/>
      <c r="C102" s="539"/>
      <c r="D102" s="539"/>
      <c r="E102" s="539"/>
      <c r="F102" s="539"/>
      <c r="G102" s="539"/>
      <c r="H102" s="208"/>
      <c r="I102" s="166"/>
      <c r="J102" s="166"/>
      <c r="K102" s="224">
        <v>0.04</v>
      </c>
      <c r="L102" s="209">
        <f>IF(AND(EXACT(H102,""),EXACT(I102,""),EXACT(J102,"")),"",IF(NOT(EXACT(J102,"")),IF(NOT(EXACT(K102,"")),K102*$J$100,""),IF(NOT(EXACT(I102,"")),IF(NOT(EXACT(K102,"")),K102*$I$100,""),IF(NOT(EXACT(H102,"")),IF(NOT(EXACT(K102,"")),K102*$H$100,"")))))</f>
      </c>
      <c r="M102" s="155" t="s">
        <v>456</v>
      </c>
      <c r="P102" s="65"/>
      <c r="Q102" s="192"/>
    </row>
    <row r="103" spans="1:17" s="46" customFormat="1" ht="12.75" customHeight="1">
      <c r="A103" s="539" t="s">
        <v>510</v>
      </c>
      <c r="B103" s="539"/>
      <c r="C103" s="539"/>
      <c r="D103" s="539"/>
      <c r="E103" s="539"/>
      <c r="F103" s="539"/>
      <c r="G103" s="539"/>
      <c r="H103" s="208"/>
      <c r="I103" s="166"/>
      <c r="J103" s="166"/>
      <c r="K103" s="224">
        <v>0.05</v>
      </c>
      <c r="L103" s="209">
        <f>IF(AND(EXACT(H103,""),EXACT(I103,""),EXACT(J103,"")),"",IF(NOT(EXACT(J103,"")),IF(NOT(EXACT(K103,"")),K103*$J$100,""),IF(NOT(EXACT(I103,"")),IF(NOT(EXACT(K103,"")),K103*$I$100,""),IF(NOT(EXACT(H103,"")),IF(NOT(EXACT(K103,"")),K103*$H$100,"")))))</f>
      </c>
      <c r="M103" s="549" t="s">
        <v>479</v>
      </c>
      <c r="N103" s="549"/>
      <c r="O103" s="549"/>
      <c r="P103" s="549"/>
      <c r="Q103" s="192"/>
    </row>
    <row r="104" spans="1:17" s="46" customFormat="1" ht="12">
      <c r="A104" s="539" t="s">
        <v>511</v>
      </c>
      <c r="B104" s="539"/>
      <c r="C104" s="539"/>
      <c r="D104" s="539"/>
      <c r="E104" s="539"/>
      <c r="F104" s="539"/>
      <c r="G104" s="539"/>
      <c r="H104" s="208"/>
      <c r="I104" s="166"/>
      <c r="J104" s="166"/>
      <c r="K104" s="224">
        <v>0.05</v>
      </c>
      <c r="L104" s="209">
        <f>IF(AND(EXACT(H104,""),EXACT(I104,""),EXACT(J104,"")),"",IF(NOT(EXACT(J104,"")),IF(NOT(EXACT(K104,"")),K104*$J$100,""),IF(NOT(EXACT(I104,"")),IF(NOT(EXACT(K104,"")),K104*$I$100,""),IF(NOT(EXACT(H104,"")),IF(NOT(EXACT(K104,"")),K104*$H$100,"")))))</f>
      </c>
      <c r="M104" s="549"/>
      <c r="N104" s="549"/>
      <c r="O104" s="549"/>
      <c r="P104" s="549"/>
      <c r="Q104" s="192"/>
    </row>
    <row r="105" spans="1:17" s="46" customFormat="1" ht="12">
      <c r="A105" s="57"/>
      <c r="B105" s="148"/>
      <c r="C105" s="148"/>
      <c r="D105" s="148"/>
      <c r="E105" s="148"/>
      <c r="F105" s="148"/>
      <c r="G105" s="65"/>
      <c r="H105" s="540" t="s">
        <v>296</v>
      </c>
      <c r="I105" s="540"/>
      <c r="J105" s="540"/>
      <c r="K105" s="171">
        <f>SUM(K102:K104)</f>
        <v>0.14</v>
      </c>
      <c r="L105" s="230">
        <f>IF(AND(NOT(EXACT(L102,"")),NOT(EXACT(L103,"")),NOT(EXACT(L104,""))),SUM(L102:L104),"")</f>
      </c>
      <c r="M105" s="549"/>
      <c r="N105" s="549"/>
      <c r="O105" s="549"/>
      <c r="P105" s="549"/>
      <c r="Q105" s="192"/>
    </row>
    <row r="106" spans="1:246" s="202" customFormat="1" ht="12">
      <c r="A106" s="57"/>
      <c r="B106" s="148"/>
      <c r="C106" s="148"/>
      <c r="D106" s="148"/>
      <c r="E106" s="148"/>
      <c r="F106" s="148"/>
      <c r="L106" s="199"/>
      <c r="M106" s="201"/>
      <c r="P106" s="199"/>
      <c r="Q106" s="57"/>
      <c r="R106" s="148"/>
      <c r="S106" s="148"/>
      <c r="T106" s="148"/>
      <c r="U106" s="148"/>
      <c r="V106" s="148"/>
      <c r="AG106" s="148"/>
      <c r="AH106" s="148"/>
      <c r="AI106" s="148"/>
      <c r="AJ106" s="148"/>
      <c r="AK106" s="148"/>
      <c r="AL106" s="148"/>
      <c r="AW106" s="148"/>
      <c r="AX106" s="148"/>
      <c r="AY106" s="148"/>
      <c r="AZ106" s="148"/>
      <c r="BA106" s="148"/>
      <c r="BB106" s="148"/>
      <c r="BM106" s="148"/>
      <c r="BN106" s="148"/>
      <c r="BO106" s="148"/>
      <c r="BP106" s="148"/>
      <c r="BQ106" s="148"/>
      <c r="BR106" s="148"/>
      <c r="CC106" s="148"/>
      <c r="CD106" s="148"/>
      <c r="CE106" s="148"/>
      <c r="CF106" s="148"/>
      <c r="CG106" s="148"/>
      <c r="CH106" s="148"/>
      <c r="CS106" s="148"/>
      <c r="CT106" s="148"/>
      <c r="CU106" s="148"/>
      <c r="CV106" s="148"/>
      <c r="CW106" s="148"/>
      <c r="CX106" s="148"/>
      <c r="DI106" s="148"/>
      <c r="DJ106" s="148"/>
      <c r="DK106" s="148"/>
      <c r="DL106" s="148"/>
      <c r="DM106" s="148"/>
      <c r="DN106" s="148"/>
      <c r="DY106" s="148"/>
      <c r="DZ106" s="148"/>
      <c r="EA106" s="148"/>
      <c r="EB106" s="148"/>
      <c r="EC106" s="148"/>
      <c r="ED106" s="148"/>
      <c r="EO106" s="148"/>
      <c r="EP106" s="148"/>
      <c r="EQ106" s="148"/>
      <c r="ER106" s="148"/>
      <c r="ES106" s="148"/>
      <c r="ET106" s="148"/>
      <c r="FE106" s="148"/>
      <c r="FF106" s="148"/>
      <c r="FG106" s="148"/>
      <c r="FH106" s="148"/>
      <c r="FI106" s="148"/>
      <c r="FJ106" s="148"/>
      <c r="FU106" s="148"/>
      <c r="FV106" s="148"/>
      <c r="FW106" s="148"/>
      <c r="FX106" s="148"/>
      <c r="FY106" s="148"/>
      <c r="FZ106" s="148"/>
      <c r="GK106" s="148"/>
      <c r="GL106" s="148"/>
      <c r="GM106" s="148"/>
      <c r="GN106" s="148"/>
      <c r="GO106" s="148"/>
      <c r="GP106" s="148"/>
      <c r="HA106" s="148"/>
      <c r="HB106" s="148"/>
      <c r="HC106" s="148"/>
      <c r="HD106" s="148"/>
      <c r="HE106" s="148"/>
      <c r="HF106" s="148"/>
      <c r="HQ106" s="148"/>
      <c r="HR106" s="148"/>
      <c r="HS106" s="148"/>
      <c r="HT106" s="148"/>
      <c r="HU106" s="148"/>
      <c r="HV106" s="148"/>
      <c r="IG106" s="148"/>
      <c r="IH106" s="148"/>
      <c r="II106" s="148"/>
      <c r="IJ106" s="148"/>
      <c r="IK106" s="148"/>
      <c r="IL106" s="148"/>
    </row>
    <row r="107" spans="1:16" ht="6.75" customHeight="1">
      <c r="A107" s="223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</row>
    <row r="108" spans="1:17" ht="15">
      <c r="A108" s="245" t="s">
        <v>444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 t="s">
        <v>296</v>
      </c>
      <c r="N108" s="247">
        <f>IF(AND(NOT(EXACT(L115,"")),NOT(EXACT(L135,""))),(L115+L135)*100,IF(AND(EXACT(L115,""),NOT(EXACT(L135,""))),L135*100,IF(AND(NOT(EXACT(L115,"")),EXACT(L135,"")),L115*100,0)))</f>
        <v>0</v>
      </c>
      <c r="O108" s="246" t="s">
        <v>297</v>
      </c>
      <c r="P108" s="248">
        <f>(K115+K135)*100</f>
        <v>30.000000000000004</v>
      </c>
      <c r="Q108" s="249">
        <f>P108+P138+P171</f>
        <v>100</v>
      </c>
    </row>
    <row r="109" spans="1:17" ht="12">
      <c r="A109" s="57"/>
      <c r="B109" s="148"/>
      <c r="C109" s="148"/>
      <c r="D109" s="148"/>
      <c r="E109" s="148"/>
      <c r="F109" s="148"/>
      <c r="G109" s="46"/>
      <c r="H109" s="46"/>
      <c r="I109" s="46"/>
      <c r="J109" s="250"/>
      <c r="K109" s="46"/>
      <c r="L109" s="46"/>
      <c r="M109" s="149" t="s">
        <v>452</v>
      </c>
      <c r="N109" s="150"/>
      <c r="O109" s="150"/>
      <c r="P109" s="65"/>
      <c r="Q109" s="46"/>
    </row>
    <row r="110" spans="1:17" ht="12">
      <c r="A110" s="221"/>
      <c r="B110" s="222"/>
      <c r="C110" s="222"/>
      <c r="D110" s="222"/>
      <c r="E110" s="222"/>
      <c r="F110" s="222"/>
      <c r="G110" s="223"/>
      <c r="H110" s="151">
        <v>0</v>
      </c>
      <c r="I110" s="152">
        <v>0.5</v>
      </c>
      <c r="J110" s="152">
        <v>1</v>
      </c>
      <c r="K110" s="223"/>
      <c r="L110" s="67"/>
      <c r="M110" s="201"/>
      <c r="N110" s="202"/>
      <c r="O110" s="202"/>
      <c r="P110" s="65"/>
      <c r="Q110" s="46"/>
    </row>
    <row r="111" spans="1:17" ht="13.5" customHeight="1">
      <c r="A111" s="57"/>
      <c r="B111" s="148"/>
      <c r="C111" s="148"/>
      <c r="D111" s="153"/>
      <c r="E111" s="148"/>
      <c r="F111" s="154"/>
      <c r="G111" s="46"/>
      <c r="H111" s="544" t="s">
        <v>453</v>
      </c>
      <c r="I111" s="544" t="s">
        <v>454</v>
      </c>
      <c r="J111" s="544" t="s">
        <v>455</v>
      </c>
      <c r="K111" s="46"/>
      <c r="L111" s="46"/>
      <c r="M111" s="155" t="s">
        <v>456</v>
      </c>
      <c r="N111" s="156"/>
      <c r="O111" s="156"/>
      <c r="P111" s="65"/>
      <c r="Q111" s="46"/>
    </row>
    <row r="112" spans="1:17" ht="12">
      <c r="A112" s="157" t="s">
        <v>457</v>
      </c>
      <c r="B112" s="148"/>
      <c r="C112" s="148"/>
      <c r="D112" s="158"/>
      <c r="E112" s="159"/>
      <c r="F112" s="160"/>
      <c r="G112" s="161"/>
      <c r="H112" s="544"/>
      <c r="I112" s="544"/>
      <c r="J112" s="544"/>
      <c r="K112" s="162" t="s">
        <v>304</v>
      </c>
      <c r="L112" s="203" t="s">
        <v>458</v>
      </c>
      <c r="M112" s="238"/>
      <c r="N112" s="239"/>
      <c r="O112" s="239"/>
      <c r="P112" s="65"/>
      <c r="Q112" s="46"/>
    </row>
    <row r="113" spans="1:17" ht="12">
      <c r="A113" s="539" t="s">
        <v>512</v>
      </c>
      <c r="B113" s="539"/>
      <c r="C113" s="539"/>
      <c r="D113" s="539"/>
      <c r="E113" s="539"/>
      <c r="F113" s="539"/>
      <c r="G113" s="539"/>
      <c r="H113" s="208"/>
      <c r="I113" s="208"/>
      <c r="J113" s="208"/>
      <c r="K113" s="224">
        <v>0.05</v>
      </c>
      <c r="L113" s="210">
        <f>IF(AND(EXACT(H113,""),EXACT(I113,""),EXACT(J113,"")),"",IF(NOT(EXACT(J113,"")),IF(NOT(EXACT(K113,"")),K113*$J$110,""),IF(NOT(EXACT(I113,"")),IF(NOT(EXACT(K113,"")),K113*$I$110,""),IF(NOT(EXACT(H113,"")),IF(NOT(EXACT(K113,"")),K113*$H$110,"")))))</f>
      </c>
      <c r="M113" s="251"/>
      <c r="N113" s="252"/>
      <c r="O113" s="252"/>
      <c r="P113" s="65"/>
      <c r="Q113" s="46"/>
    </row>
    <row r="114" spans="1:17" ht="12">
      <c r="A114" s="539" t="s">
        <v>513</v>
      </c>
      <c r="B114" s="539"/>
      <c r="C114" s="539"/>
      <c r="D114" s="539"/>
      <c r="E114" s="539"/>
      <c r="F114" s="539"/>
      <c r="G114" s="539"/>
      <c r="H114" s="208"/>
      <c r="I114" s="208"/>
      <c r="J114" s="208"/>
      <c r="K114" s="224">
        <v>0.05</v>
      </c>
      <c r="L114" s="210">
        <f>IF(AND(EXACT(H114,""),EXACT(I114,""),EXACT(J114,"")),"",IF(NOT(EXACT(J114,"")),IF(NOT(EXACT(K114,"")),K114*$J$110,""),IF(NOT(EXACT(I114,"")),IF(NOT(EXACT(K114,"")),K114*$I$110,""),IF(NOT(EXACT(H114,"")),IF(NOT(EXACT(K114,"")),K114*$H$110,"")))))</f>
      </c>
      <c r="M114" s="251"/>
      <c r="N114" s="252"/>
      <c r="O114" s="252"/>
      <c r="P114" s="49"/>
      <c r="Q114" s="48"/>
    </row>
    <row r="115" spans="1:17" ht="12">
      <c r="A115" s="168"/>
      <c r="B115" s="148"/>
      <c r="C115" s="148"/>
      <c r="D115" s="169"/>
      <c r="E115" s="148"/>
      <c r="F115" s="169"/>
      <c r="G115" s="48"/>
      <c r="H115" s="540" t="s">
        <v>296</v>
      </c>
      <c r="I115" s="540"/>
      <c r="J115" s="540"/>
      <c r="K115" s="171">
        <f>SUM(K113:K114)</f>
        <v>0.1</v>
      </c>
      <c r="L115" s="225">
        <f>IF(AND(OR(NOT(EXACT(H113,"")),NOT(EXACT(I113,"")),NOT(EXACT(J113,""))),OR(NOT(EXACT(H114,"")),NOT(EXACT(I114,"")),NOT(EXACT(J114,"")))),SUM(L113:L114),"")</f>
      </c>
      <c r="M115" s="192"/>
      <c r="N115" s="46"/>
      <c r="O115" s="46"/>
      <c r="P115" s="49"/>
      <c r="Q115" s="48"/>
    </row>
    <row r="116" spans="1:19" ht="12">
      <c r="A116" s="157" t="s">
        <v>514</v>
      </c>
      <c r="B116" s="148"/>
      <c r="C116" s="148"/>
      <c r="D116" s="169"/>
      <c r="E116" s="148"/>
      <c r="F116" s="169"/>
      <c r="G116" s="48"/>
      <c r="H116" s="253"/>
      <c r="I116" s="253"/>
      <c r="J116" s="253"/>
      <c r="K116" s="254"/>
      <c r="L116" s="255"/>
      <c r="M116" s="192"/>
      <c r="N116" s="46"/>
      <c r="O116" s="46"/>
      <c r="P116" s="49"/>
      <c r="Q116" s="48"/>
      <c r="S116" s="256"/>
    </row>
    <row r="117" spans="1:17" ht="12">
      <c r="A117" s="539" t="s">
        <v>515</v>
      </c>
      <c r="B117" s="539"/>
      <c r="C117" s="539"/>
      <c r="D117" s="539"/>
      <c r="E117" s="539"/>
      <c r="F117" s="539"/>
      <c r="G117" s="539"/>
      <c r="H117" s="548"/>
      <c r="I117" s="548"/>
      <c r="J117" s="548"/>
      <c r="K117" s="190"/>
      <c r="L117" s="191"/>
      <c r="M117" s="47"/>
      <c r="N117" s="48"/>
      <c r="O117" s="48"/>
      <c r="P117" s="49"/>
      <c r="Q117" s="48"/>
    </row>
    <row r="118" spans="1:17" ht="12">
      <c r="A118" s="193"/>
      <c r="B118" s="161"/>
      <c r="C118" s="161"/>
      <c r="D118" s="161"/>
      <c r="E118" s="161"/>
      <c r="F118" s="161"/>
      <c r="G118" s="194"/>
      <c r="H118" s="195">
        <v>0</v>
      </c>
      <c r="I118" s="196">
        <v>0.75</v>
      </c>
      <c r="J118" s="195">
        <v>1</v>
      </c>
      <c r="K118" s="197"/>
      <c r="L118" s="154"/>
      <c r="M118" s="47"/>
      <c r="N118" s="48"/>
      <c r="O118" s="48"/>
      <c r="P118" s="49"/>
      <c r="Q118" s="48"/>
    </row>
    <row r="119" spans="1:17" ht="12.75" customHeight="1">
      <c r="A119" s="198"/>
      <c r="B119" s="148"/>
      <c r="C119" s="148"/>
      <c r="D119" s="148"/>
      <c r="E119" s="148"/>
      <c r="F119" s="148"/>
      <c r="G119" s="199"/>
      <c r="H119" s="544" t="s">
        <v>453</v>
      </c>
      <c r="I119" s="544" t="s">
        <v>455</v>
      </c>
      <c r="J119" s="544" t="s">
        <v>516</v>
      </c>
      <c r="K119" s="200"/>
      <c r="L119" s="160"/>
      <c r="M119" s="47"/>
      <c r="N119" s="48"/>
      <c r="O119" s="48"/>
      <c r="P119" s="49"/>
      <c r="Q119" s="48"/>
    </row>
    <row r="120" spans="1:17" ht="31.5" customHeight="1">
      <c r="A120" s="198"/>
      <c r="B120" s="257" t="s">
        <v>517</v>
      </c>
      <c r="C120" s="148"/>
      <c r="D120" s="148"/>
      <c r="E120" s="148"/>
      <c r="F120" s="148"/>
      <c r="G120" s="199"/>
      <c r="H120" s="544"/>
      <c r="I120" s="544"/>
      <c r="J120" s="544"/>
      <c r="K120" s="162" t="s">
        <v>304</v>
      </c>
      <c r="L120" s="203" t="s">
        <v>458</v>
      </c>
      <c r="M120" s="155" t="s">
        <v>518</v>
      </c>
      <c r="N120" s="156"/>
      <c r="O120" s="156"/>
      <c r="P120" s="49"/>
      <c r="Q120" s="48"/>
    </row>
    <row r="121" spans="1:17" ht="12">
      <c r="A121" s="204"/>
      <c r="B121" s="258" t="s">
        <v>519</v>
      </c>
      <c r="C121" s="259"/>
      <c r="D121" s="555"/>
      <c r="E121" s="555"/>
      <c r="F121" s="555"/>
      <c r="G121" s="555"/>
      <c r="H121" s="260"/>
      <c r="I121" s="260"/>
      <c r="J121" s="260"/>
      <c r="K121" s="167"/>
      <c r="L121" s="261">
        <f>IF(OR(AND(EXACT(H121,""),EXACT(I121,""),EXACT(J121,"")),EXACT($H$29,"")),"",IF(#NAME?(H$120:H$65536,EXACT(J121,"")),IF(#NAME?(H$120:H$65536,EXACT(K121,"")),K121*$J$56,""),IF(#NAME?(H$120:H$65536,EXACT(I121,"")),IF(#NAME?(H$120:H$65536,EXACT(K121,"")),K121*$I$56,""),IF(#NAME?(H$120:H$65536,EXACT(H121,"")),IF(#NAME?(H$120:H$65536,EXACT(K121,"")),K121*$H$56,"")))))</f>
      </c>
      <c r="M121" s="238" t="s">
        <v>520</v>
      </c>
      <c r="N121" s="239"/>
      <c r="O121" s="239"/>
      <c r="P121" s="65"/>
      <c r="Q121" s="46"/>
    </row>
    <row r="122" spans="1:17" ht="12">
      <c r="A122" s="193"/>
      <c r="C122" s="556" t="s">
        <v>521</v>
      </c>
      <c r="D122" s="556"/>
      <c r="E122" s="556"/>
      <c r="F122" s="556"/>
      <c r="G122" s="556"/>
      <c r="H122" s="208"/>
      <c r="I122" s="208"/>
      <c r="J122" s="208"/>
      <c r="K122" s="209">
        <f aca="true" t="shared" si="0" ref="K122:K127">IF(AND(NOT(EXACT($H$117,"")),$H$117&gt;=1),$K$135/6/$H$117,"")</f>
      </c>
      <c r="L122" s="209">
        <f aca="true" t="shared" si="1" ref="L122:L127">IF(OR(AND(EXACT(H122,""),EXACT(I122,""),EXACT(J122,"")),EXACT($H$117,"")),"",IF(NOT(EXACT(J122,"")),IF(NOT(EXACT(K122,"")),K122*$J$118,""),IF(NOT(EXACT(I122,"")),IF(NOT(EXACT(K122,"")),K122*$I$118,""),IF(NOT(EXACT(H122,"")),IF(NOT(EXACT(K122,"")),K122*$H$118,"")))))</f>
      </c>
      <c r="M122" s="262" t="s">
        <v>522</v>
      </c>
      <c r="N122" s="262"/>
      <c r="O122" s="262"/>
      <c r="P122" s="65"/>
      <c r="Q122" s="46"/>
    </row>
    <row r="123" spans="1:17" ht="12">
      <c r="A123" s="193"/>
      <c r="C123" s="550" t="s">
        <v>523</v>
      </c>
      <c r="D123" s="550"/>
      <c r="E123" s="550"/>
      <c r="F123" s="550"/>
      <c r="G123" s="550"/>
      <c r="H123" s="208"/>
      <c r="I123" s="208"/>
      <c r="J123" s="208"/>
      <c r="K123" s="209">
        <f t="shared" si="0"/>
      </c>
      <c r="L123" s="209">
        <f t="shared" si="1"/>
      </c>
      <c r="M123" s="262" t="s">
        <v>524</v>
      </c>
      <c r="N123" s="262"/>
      <c r="O123" s="262"/>
      <c r="P123" s="65"/>
      <c r="Q123" s="46"/>
    </row>
    <row r="124" spans="1:17" ht="12">
      <c r="A124" s="193"/>
      <c r="B124" s="204"/>
      <c r="C124" s="551" t="s">
        <v>525</v>
      </c>
      <c r="D124" s="551"/>
      <c r="E124" s="551"/>
      <c r="F124" s="551"/>
      <c r="G124" s="551"/>
      <c r="H124" s="208"/>
      <c r="I124" s="208"/>
      <c r="J124" s="208"/>
      <c r="K124" s="209">
        <f t="shared" si="0"/>
      </c>
      <c r="L124" s="209">
        <f t="shared" si="1"/>
      </c>
      <c r="M124" s="262" t="s">
        <v>526</v>
      </c>
      <c r="N124" s="262"/>
      <c r="O124" s="262"/>
      <c r="P124" s="65"/>
      <c r="Q124" s="46"/>
    </row>
    <row r="125" spans="1:17" ht="12">
      <c r="A125" s="193"/>
      <c r="C125" s="552" t="s">
        <v>527</v>
      </c>
      <c r="D125" s="552"/>
      <c r="E125" s="552"/>
      <c r="F125" s="552"/>
      <c r="G125" s="552"/>
      <c r="H125" s="208"/>
      <c r="I125" s="208"/>
      <c r="J125" s="208"/>
      <c r="K125" s="209">
        <f t="shared" si="0"/>
      </c>
      <c r="L125" s="209">
        <f t="shared" si="1"/>
      </c>
      <c r="M125" s="238" t="s">
        <v>528</v>
      </c>
      <c r="N125" s="239"/>
      <c r="O125" s="239"/>
      <c r="P125" s="65"/>
      <c r="Q125" s="46"/>
    </row>
    <row r="126" spans="1:17" ht="12">
      <c r="A126" s="193"/>
      <c r="C126" s="553" t="s">
        <v>529</v>
      </c>
      <c r="D126" s="553"/>
      <c r="E126" s="553"/>
      <c r="F126" s="553"/>
      <c r="G126" s="553"/>
      <c r="H126" s="208"/>
      <c r="I126" s="208"/>
      <c r="J126" s="208"/>
      <c r="K126" s="209">
        <f t="shared" si="0"/>
      </c>
      <c r="L126" s="209">
        <f t="shared" si="1"/>
      </c>
      <c r="M126" s="238" t="s">
        <v>530</v>
      </c>
      <c r="N126" s="239"/>
      <c r="O126" s="239"/>
      <c r="P126" s="65"/>
      <c r="Q126" s="46"/>
    </row>
    <row r="127" spans="1:17" ht="12">
      <c r="A127" s="168"/>
      <c r="B127" s="193"/>
      <c r="C127" s="554" t="s">
        <v>531</v>
      </c>
      <c r="D127" s="554"/>
      <c r="E127" s="554"/>
      <c r="F127" s="554"/>
      <c r="G127" s="554"/>
      <c r="H127" s="208"/>
      <c r="I127" s="208"/>
      <c r="J127" s="208"/>
      <c r="K127" s="209">
        <f t="shared" si="0"/>
      </c>
      <c r="L127" s="209">
        <f t="shared" si="1"/>
      </c>
      <c r="M127" s="238" t="s">
        <v>532</v>
      </c>
      <c r="N127" s="239"/>
      <c r="O127" s="239"/>
      <c r="P127" s="65"/>
      <c r="Q127" s="46"/>
    </row>
    <row r="128" spans="1:17" ht="13.5" customHeight="1">
      <c r="A128" s="168"/>
      <c r="B128" s="258" t="s">
        <v>533</v>
      </c>
      <c r="C128" s="259"/>
      <c r="D128" s="555"/>
      <c r="E128" s="555"/>
      <c r="F128" s="555"/>
      <c r="G128" s="555"/>
      <c r="H128" s="260"/>
      <c r="I128" s="260"/>
      <c r="J128" s="260"/>
      <c r="K128" s="167"/>
      <c r="L128" s="167">
        <f>IF(OR(AND(EXACT(H128,""),EXACT(I128,""),EXACT(J128,"")),EXACT($H$117,"")),"",IF(#NAME?(H$120:H$65536,EXACT(J128,"")),IF(#NAME?(H$120:H$65536,EXACT(K128,"")),K128*$J$118,""),IF(#NAME?(H$120:H$65536,EXACT(I128,"")),IF(#NAME?(H$120:H$65536,EXACT(K128,"")),K128*$I$118,""),IF(#NAME?(H$120:H$65536,EXACT(H128,"")),IF(#NAME?(H$120:H$65536,EXACT(K128,"")),K128*$H$118,"")))))</f>
      </c>
      <c r="P128" s="65"/>
      <c r="Q128" s="46"/>
    </row>
    <row r="129" spans="1:17" ht="13.5" customHeight="1">
      <c r="A129" s="168"/>
      <c r="B129" s="67"/>
      <c r="C129" s="556" t="s">
        <v>521</v>
      </c>
      <c r="D129" s="556"/>
      <c r="E129" s="556"/>
      <c r="F129" s="556"/>
      <c r="G129" s="556"/>
      <c r="H129" s="208"/>
      <c r="I129" s="208"/>
      <c r="J129" s="208"/>
      <c r="K129" s="209">
        <f aca="true" t="shared" si="2" ref="K129:K134">IF(AND(NOT(EXACT($H$117,"")),$H$117&gt;=2),$K$135/6/$H$117,"")</f>
      </c>
      <c r="L129" s="209">
        <f aca="true" t="shared" si="3" ref="L129:L134">IF(OR(AND(EXACT(H129,""),EXACT(I129,""),EXACT(J129,"")),EXACT($H$117,"")),"",IF(NOT(EXACT(J129,"")),IF(NOT(EXACT(K129,"")),K129*$J$118,""),IF(NOT(EXACT(I129,"")),IF(NOT(EXACT(K129,"")),K129*$I$118,""),IF(NOT(EXACT(H129,"")),IF(NOT(EXACT(K129,"")),K129*$H$118,"")))))</f>
      </c>
      <c r="P129" s="263"/>
      <c r="Q129" s="264"/>
    </row>
    <row r="130" spans="1:17" ht="12">
      <c r="A130" s="168"/>
      <c r="B130" s="65"/>
      <c r="C130" s="550" t="s">
        <v>523</v>
      </c>
      <c r="D130" s="550"/>
      <c r="E130" s="550"/>
      <c r="F130" s="550"/>
      <c r="G130" s="550"/>
      <c r="H130" s="208"/>
      <c r="I130" s="208"/>
      <c r="J130" s="208"/>
      <c r="K130" s="209">
        <f t="shared" si="2"/>
      </c>
      <c r="L130" s="209">
        <f t="shared" si="3"/>
      </c>
      <c r="P130" s="65"/>
      <c r="Q130" s="46"/>
    </row>
    <row r="131" spans="1:17" ht="12">
      <c r="A131" s="168"/>
      <c r="B131" s="65"/>
      <c r="C131" s="551" t="s">
        <v>525</v>
      </c>
      <c r="D131" s="551"/>
      <c r="E131" s="551"/>
      <c r="F131" s="551"/>
      <c r="G131" s="551"/>
      <c r="H131" s="208"/>
      <c r="I131" s="208"/>
      <c r="J131" s="208"/>
      <c r="K131" s="209">
        <f t="shared" si="2"/>
      </c>
      <c r="L131" s="209">
        <f t="shared" si="3"/>
      </c>
      <c r="M131" s="155" t="s">
        <v>456</v>
      </c>
      <c r="N131" s="156"/>
      <c r="O131" s="156"/>
      <c r="P131" s="65"/>
      <c r="Q131" s="46"/>
    </row>
    <row r="132" spans="1:17" ht="12.75" customHeight="1">
      <c r="A132" s="168"/>
      <c r="B132" s="65"/>
      <c r="C132" s="552" t="s">
        <v>527</v>
      </c>
      <c r="D132" s="552"/>
      <c r="E132" s="552"/>
      <c r="F132" s="552"/>
      <c r="G132" s="552"/>
      <c r="H132" s="208"/>
      <c r="I132" s="208"/>
      <c r="J132" s="208"/>
      <c r="K132" s="209">
        <f t="shared" si="2"/>
      </c>
      <c r="L132" s="209">
        <f t="shared" si="3"/>
      </c>
      <c r="M132" s="549" t="s">
        <v>534</v>
      </c>
      <c r="N132" s="549"/>
      <c r="O132" s="549"/>
      <c r="P132" s="549"/>
      <c r="Q132" s="46"/>
    </row>
    <row r="133" spans="1:17" ht="12">
      <c r="A133" s="168"/>
      <c r="B133" s="65"/>
      <c r="C133" s="553" t="s">
        <v>529</v>
      </c>
      <c r="D133" s="553"/>
      <c r="E133" s="553"/>
      <c r="F133" s="553"/>
      <c r="G133" s="553"/>
      <c r="H133" s="208"/>
      <c r="I133" s="208"/>
      <c r="J133" s="208"/>
      <c r="K133" s="209">
        <f t="shared" si="2"/>
      </c>
      <c r="L133" s="209">
        <f t="shared" si="3"/>
      </c>
      <c r="M133" s="549"/>
      <c r="N133" s="549"/>
      <c r="O133" s="549"/>
      <c r="P133" s="549"/>
      <c r="Q133" s="46"/>
    </row>
    <row r="134" spans="1:17" ht="12">
      <c r="A134" s="168"/>
      <c r="B134" s="194"/>
      <c r="C134" s="554" t="s">
        <v>531</v>
      </c>
      <c r="D134" s="554"/>
      <c r="E134" s="554"/>
      <c r="F134" s="554"/>
      <c r="G134" s="554"/>
      <c r="H134" s="208"/>
      <c r="I134" s="208"/>
      <c r="J134" s="208"/>
      <c r="K134" s="209">
        <f t="shared" si="2"/>
      </c>
      <c r="L134" s="209">
        <f t="shared" si="3"/>
      </c>
      <c r="M134" s="549"/>
      <c r="N134" s="549"/>
      <c r="O134" s="549"/>
      <c r="P134" s="549"/>
      <c r="Q134" s="46"/>
    </row>
    <row r="135" spans="1:17" ht="12">
      <c r="A135" s="57"/>
      <c r="B135" s="148"/>
      <c r="C135" s="148"/>
      <c r="D135" s="148"/>
      <c r="E135" s="148"/>
      <c r="F135" s="148"/>
      <c r="G135" s="65"/>
      <c r="H135" s="540" t="s">
        <v>296</v>
      </c>
      <c r="I135" s="540"/>
      <c r="J135" s="540"/>
      <c r="K135" s="265">
        <v>0.2</v>
      </c>
      <c r="L135" s="237">
        <f>IF(EXACT(H117,""),"",IF(H117=0,K135,SUM(L121:L134)))</f>
      </c>
      <c r="M135" s="549"/>
      <c r="N135" s="549"/>
      <c r="O135" s="549"/>
      <c r="P135" s="549"/>
      <c r="Q135" s="46"/>
    </row>
    <row r="136" spans="1:17" ht="12">
      <c r="A136" s="58"/>
      <c r="B136" s="159"/>
      <c r="C136" s="159"/>
      <c r="D136" s="159"/>
      <c r="E136" s="159"/>
      <c r="F136" s="159"/>
      <c r="G136" s="175"/>
      <c r="H136" s="175"/>
      <c r="I136" s="175"/>
      <c r="J136" s="175"/>
      <c r="K136" s="175"/>
      <c r="L136" s="175"/>
      <c r="M136" s="219"/>
      <c r="N136" s="175"/>
      <c r="O136" s="175"/>
      <c r="P136" s="68"/>
      <c r="Q136" s="46"/>
    </row>
    <row r="137" spans="1:16" ht="6.75" customHeight="1">
      <c r="A137" s="223"/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</row>
    <row r="138" spans="1:17" ht="15">
      <c r="A138" s="245" t="s">
        <v>448</v>
      </c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 t="s">
        <v>296</v>
      </c>
      <c r="N138" s="247">
        <f>IF(AND(NOT(EXACT(L150,"")),NOT(EXACT(L157,"")),NOT(EXACT(L168,""))),(L150+L157+L168)*100,0)</f>
        <v>0</v>
      </c>
      <c r="O138" s="246" t="s">
        <v>297</v>
      </c>
      <c r="P138" s="248">
        <f>(K150+K157+K168)*100</f>
        <v>30.000000000000004</v>
      </c>
      <c r="Q138" s="180"/>
    </row>
    <row r="139" spans="1:17" ht="15">
      <c r="A139" s="243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49" t="s">
        <v>452</v>
      </c>
      <c r="N139" s="150"/>
      <c r="O139" s="150"/>
      <c r="P139" s="289"/>
      <c r="Q139" s="180"/>
    </row>
    <row r="140" spans="1:17" ht="12">
      <c r="A140" s="258" t="s">
        <v>535</v>
      </c>
      <c r="B140" s="187"/>
      <c r="C140" s="187"/>
      <c r="D140" s="187"/>
      <c r="E140" s="187"/>
      <c r="F140" s="187"/>
      <c r="G140" s="188"/>
      <c r="H140" s="548"/>
      <c r="I140" s="548"/>
      <c r="J140" s="548"/>
      <c r="K140" s="190"/>
      <c r="L140" s="191"/>
      <c r="M140" s="192"/>
      <c r="N140" s="46"/>
      <c r="O140" s="46"/>
      <c r="P140" s="65"/>
      <c r="Q140" s="46"/>
    </row>
    <row r="141" spans="1:17" ht="12">
      <c r="A141" s="168"/>
      <c r="B141" s="270"/>
      <c r="C141" s="271"/>
      <c r="D141" s="271"/>
      <c r="E141" s="271"/>
      <c r="F141" s="271"/>
      <c r="G141" s="272"/>
      <c r="H141" s="195">
        <v>0.5</v>
      </c>
      <c r="I141" s="196">
        <v>0.75</v>
      </c>
      <c r="J141" s="195">
        <v>1</v>
      </c>
      <c r="K141" s="197"/>
      <c r="L141" s="154"/>
      <c r="M141" s="155" t="s">
        <v>456</v>
      </c>
      <c r="N141" s="156"/>
      <c r="O141" s="156"/>
      <c r="P141" s="65"/>
      <c r="Q141" s="46"/>
    </row>
    <row r="142" spans="1:17" ht="21" customHeight="1">
      <c r="A142" s="57"/>
      <c r="B142" s="57"/>
      <c r="C142" s="148"/>
      <c r="D142" s="148"/>
      <c r="E142" s="148"/>
      <c r="F142" s="148"/>
      <c r="G142" s="199"/>
      <c r="H142" s="544" t="s">
        <v>536</v>
      </c>
      <c r="I142" s="544" t="s">
        <v>537</v>
      </c>
      <c r="J142" s="544" t="s">
        <v>538</v>
      </c>
      <c r="K142" s="200"/>
      <c r="L142" s="160"/>
      <c r="M142" s="273" t="s">
        <v>539</v>
      </c>
      <c r="N142" s="274"/>
      <c r="O142" s="274"/>
      <c r="P142" s="199"/>
      <c r="Q142" s="202"/>
    </row>
    <row r="143" spans="1:17" ht="13.5" customHeight="1">
      <c r="A143" s="57"/>
      <c r="B143" s="57"/>
      <c r="C143" s="148"/>
      <c r="D143" s="148"/>
      <c r="E143" s="148"/>
      <c r="F143" s="148"/>
      <c r="G143" s="199"/>
      <c r="H143" s="544"/>
      <c r="I143" s="544"/>
      <c r="J143" s="544"/>
      <c r="K143" s="162" t="s">
        <v>304</v>
      </c>
      <c r="L143" s="203" t="s">
        <v>458</v>
      </c>
      <c r="M143" s="238" t="s">
        <v>540</v>
      </c>
      <c r="N143" s="239"/>
      <c r="O143" s="239"/>
      <c r="P143" s="199"/>
      <c r="Q143" s="202"/>
    </row>
    <row r="144" spans="1:17" ht="12">
      <c r="A144" s="192"/>
      <c r="B144" s="545" t="s">
        <v>541</v>
      </c>
      <c r="C144" s="545"/>
      <c r="D144" s="546"/>
      <c r="E144" s="546"/>
      <c r="F144" s="546"/>
      <c r="G144" s="546"/>
      <c r="H144" s="207"/>
      <c r="I144" s="207"/>
      <c r="J144" s="208"/>
      <c r="K144" s="209">
        <f>IF($H$140&gt;=1,$K$150/$H$140,"")</f>
      </c>
      <c r="L144" s="210">
        <f aca="true" t="shared" si="4" ref="L144:L149">IF(OR(AND(EXACT(H144,""),EXACT(I144,""),EXACT(J144,"")),EXACT($H$140,"")),"",IF(NOT(EXACT(J144,"")),IF(NOT(EXACT(K144,"")),K144*$J$141,""),IF(NOT(EXACT(I144,"")),IF(NOT(EXACT(K144,"")),K144*$I$141,""),IF(NOT(EXACT(H144,"")),IF(NOT(EXACT(K144,"")),K144*$H$141,"")))))</f>
      </c>
      <c r="M144" s="238" t="s">
        <v>542</v>
      </c>
      <c r="N144" s="239"/>
      <c r="O144" s="239"/>
      <c r="P144" s="65"/>
      <c r="Q144" s="46"/>
    </row>
    <row r="145" spans="1:17" ht="12">
      <c r="A145" s="192"/>
      <c r="B145" s="545" t="s">
        <v>543</v>
      </c>
      <c r="C145" s="545"/>
      <c r="D145" s="547"/>
      <c r="E145" s="547"/>
      <c r="F145" s="547"/>
      <c r="G145" s="547"/>
      <c r="H145" s="207"/>
      <c r="I145" s="207"/>
      <c r="J145" s="208"/>
      <c r="K145" s="209">
        <f>IF($H$140&gt;=2,$K$150/$H$140,"")</f>
      </c>
      <c r="L145" s="210">
        <f t="shared" si="4"/>
      </c>
      <c r="M145" s="238" t="s">
        <v>544</v>
      </c>
      <c r="N145" s="239"/>
      <c r="O145" s="239"/>
      <c r="P145" s="65"/>
      <c r="Q145" s="46"/>
    </row>
    <row r="146" spans="1:17" ht="12">
      <c r="A146" s="192"/>
      <c r="B146" s="545" t="s">
        <v>545</v>
      </c>
      <c r="C146" s="545"/>
      <c r="D146" s="547"/>
      <c r="E146" s="547"/>
      <c r="F146" s="547"/>
      <c r="G146" s="547"/>
      <c r="H146" s="207"/>
      <c r="I146" s="207"/>
      <c r="J146" s="208"/>
      <c r="K146" s="209">
        <f>IF($H$140&gt;=3,$K$150/$H$140,"")</f>
      </c>
      <c r="L146" s="210">
        <f t="shared" si="4"/>
      </c>
      <c r="M146" s="238" t="s">
        <v>546</v>
      </c>
      <c r="N146" s="239"/>
      <c r="O146" s="239"/>
      <c r="P146" s="65"/>
      <c r="Q146" s="46"/>
    </row>
    <row r="147" spans="1:17" ht="12">
      <c r="A147" s="192"/>
      <c r="B147" s="545" t="s">
        <v>547</v>
      </c>
      <c r="C147" s="545"/>
      <c r="D147" s="547"/>
      <c r="E147" s="547"/>
      <c r="F147" s="547"/>
      <c r="G147" s="547"/>
      <c r="H147" s="207"/>
      <c r="I147" s="207"/>
      <c r="J147" s="208"/>
      <c r="K147" s="209">
        <f>IF($H$140&gt;=4,$K$150/$H$140,"")</f>
      </c>
      <c r="L147" s="210">
        <f t="shared" si="4"/>
      </c>
      <c r="M147" s="192"/>
      <c r="N147" s="46"/>
      <c r="O147" s="46"/>
      <c r="P147" s="65"/>
      <c r="Q147" s="46"/>
    </row>
    <row r="148" spans="1:17" ht="12">
      <c r="A148" s="192"/>
      <c r="B148" s="545" t="s">
        <v>548</v>
      </c>
      <c r="C148" s="545"/>
      <c r="D148" s="547"/>
      <c r="E148" s="547"/>
      <c r="F148" s="547"/>
      <c r="G148" s="547"/>
      <c r="H148" s="207"/>
      <c r="I148" s="207"/>
      <c r="J148" s="208"/>
      <c r="K148" s="209">
        <f>IF($H$140&gt;=5,$K$150/$H$140,"")</f>
      </c>
      <c r="L148" s="210">
        <f t="shared" si="4"/>
      </c>
      <c r="M148" s="192"/>
      <c r="N148" s="46"/>
      <c r="O148" s="46"/>
      <c r="P148" s="65"/>
      <c r="Q148" s="46"/>
    </row>
    <row r="149" spans="1:17" ht="12">
      <c r="A149" s="192"/>
      <c r="B149" s="541" t="s">
        <v>549</v>
      </c>
      <c r="C149" s="541"/>
      <c r="D149" s="542"/>
      <c r="E149" s="542"/>
      <c r="F149" s="542"/>
      <c r="G149" s="542"/>
      <c r="H149" s="207"/>
      <c r="I149" s="207"/>
      <c r="J149" s="208"/>
      <c r="K149" s="209">
        <f>IF($H$140&gt;=6,$K$150/$H$140,"")</f>
      </c>
      <c r="L149" s="210">
        <f t="shared" si="4"/>
      </c>
      <c r="M149" s="192"/>
      <c r="N149" s="46"/>
      <c r="O149" s="46"/>
      <c r="P149" s="65"/>
      <c r="Q149" s="46"/>
    </row>
    <row r="150" spans="1:17" ht="12">
      <c r="A150" s="192"/>
      <c r="B150" s="161"/>
      <c r="C150" s="161"/>
      <c r="D150" s="161"/>
      <c r="E150" s="161"/>
      <c r="F150" s="161"/>
      <c r="G150" s="161"/>
      <c r="H150" s="540" t="s">
        <v>296</v>
      </c>
      <c r="I150" s="540"/>
      <c r="J150" s="540"/>
      <c r="K150" s="171">
        <v>0.13</v>
      </c>
      <c r="L150" s="218">
        <f>IF(EXACT(H140,""),"",IF(H140=0,K150,SUM(L144:L149)))</f>
      </c>
      <c r="M150" s="192"/>
      <c r="N150" s="46"/>
      <c r="O150" s="46"/>
      <c r="P150" s="65"/>
      <c r="Q150" s="46"/>
    </row>
    <row r="151" spans="1:17" ht="13.5" customHeight="1">
      <c r="A151" s="275"/>
      <c r="B151" s="66"/>
      <c r="C151" s="66"/>
      <c r="D151" s="66"/>
      <c r="E151" s="66"/>
      <c r="F151" s="66"/>
      <c r="M151" s="192"/>
      <c r="N151" s="46"/>
      <c r="O151" s="46"/>
      <c r="P151" s="65"/>
      <c r="Q151" s="46"/>
    </row>
    <row r="152" spans="1:17" ht="12">
      <c r="A152" s="221"/>
      <c r="B152" s="222"/>
      <c r="C152" s="222"/>
      <c r="D152" s="222"/>
      <c r="E152" s="222"/>
      <c r="F152" s="222"/>
      <c r="G152" s="223"/>
      <c r="H152" s="151">
        <v>0</v>
      </c>
      <c r="I152" s="152">
        <v>0.75</v>
      </c>
      <c r="J152" s="152">
        <v>1</v>
      </c>
      <c r="K152" s="223"/>
      <c r="L152" s="67"/>
      <c r="M152" s="155" t="s">
        <v>456</v>
      </c>
      <c r="N152" s="156"/>
      <c r="O152" s="156"/>
      <c r="P152" s="65"/>
      <c r="Q152" s="46"/>
    </row>
    <row r="153" spans="1:17" ht="13.5" customHeight="1">
      <c r="A153" s="57"/>
      <c r="B153" s="148"/>
      <c r="C153" s="148"/>
      <c r="D153" s="153"/>
      <c r="E153" s="148"/>
      <c r="F153" s="543"/>
      <c r="G153" s="46"/>
      <c r="H153" s="544" t="s">
        <v>453</v>
      </c>
      <c r="I153" s="544" t="s">
        <v>454</v>
      </c>
      <c r="J153" s="544" t="s">
        <v>455</v>
      </c>
      <c r="K153" s="46"/>
      <c r="L153" s="46"/>
      <c r="M153" s="273" t="s">
        <v>539</v>
      </c>
      <c r="N153" s="274"/>
      <c r="O153" s="274"/>
      <c r="P153" s="199"/>
      <c r="Q153" s="46"/>
    </row>
    <row r="154" spans="1:17" ht="12">
      <c r="A154" s="157" t="s">
        <v>550</v>
      </c>
      <c r="B154" s="148"/>
      <c r="C154" s="148"/>
      <c r="D154" s="158"/>
      <c r="E154" s="159"/>
      <c r="F154" s="543"/>
      <c r="G154" s="161"/>
      <c r="H154" s="544"/>
      <c r="I154" s="544"/>
      <c r="J154" s="544"/>
      <c r="K154" s="162" t="s">
        <v>304</v>
      </c>
      <c r="L154" s="203" t="s">
        <v>458</v>
      </c>
      <c r="M154" s="238" t="s">
        <v>540</v>
      </c>
      <c r="N154" s="239"/>
      <c r="O154" s="239"/>
      <c r="P154" s="199"/>
      <c r="Q154" s="46"/>
    </row>
    <row r="155" spans="1:17" ht="12">
      <c r="A155" s="539" t="s">
        <v>551</v>
      </c>
      <c r="B155" s="539"/>
      <c r="C155" s="539"/>
      <c r="D155" s="539"/>
      <c r="E155" s="539"/>
      <c r="F155" s="539"/>
      <c r="G155" s="539"/>
      <c r="H155" s="208"/>
      <c r="I155" s="208"/>
      <c r="J155" s="208"/>
      <c r="K155" s="224">
        <v>0.04</v>
      </c>
      <c r="L155" s="210">
        <f>IF(AND(EXACT(H155,""),EXACT(I155,""),EXACT(J155,"")),"",IF(#NAME?(H$154:H$65536,EXACT(J155,"")),IF(#NAME?(H$154:H$65536,EXACT(K155,"")),K155*$J$152,""),IF(#NAME?(H$154:H$65536,EXACT(I155,"")),IF(#NAME?(H$154:H$65536,EXACT(K155,"")),K155*$I$152,""),IF(#NAME?(H$154:H$65536,EXACT(H155,"")),IF(#NAME?(H$154:H$65536,EXACT(K155,"")),K155*$H$152,"")))))</f>
      </c>
      <c r="M155" s="238" t="s">
        <v>542</v>
      </c>
      <c r="N155" s="239"/>
      <c r="O155" s="239"/>
      <c r="P155" s="65"/>
      <c r="Q155" s="46"/>
    </row>
    <row r="156" spans="1:17" ht="12">
      <c r="A156" s="539" t="s">
        <v>552</v>
      </c>
      <c r="B156" s="539"/>
      <c r="C156" s="539"/>
      <c r="D156" s="539"/>
      <c r="E156" s="539"/>
      <c r="F156" s="539"/>
      <c r="G156" s="539"/>
      <c r="H156" s="208"/>
      <c r="I156" s="208"/>
      <c r="J156" s="208"/>
      <c r="K156" s="224">
        <v>0.03</v>
      </c>
      <c r="L156" s="210">
        <f>IF(AND(EXACT(H156,""),EXACT(I156,""),EXACT(J156,"")),"",IF(#NAME?(H$154:H$65536,EXACT(J156,"")),IF(#NAME?(H$154:H$65536,EXACT(K156,"")),K156*$J$152,""),IF(#NAME?(H$154:H$65536,EXACT(I156,"")),IF(#NAME?(H$154:H$65536,EXACT(K156,"")),K156*$I$152,""),IF(#NAME?(H$154:H$65536,EXACT(H156,"")),IF(#NAME?(H$154:H$65536,EXACT(K156,"")),K156*$H$152,"")))))</f>
      </c>
      <c r="M156" s="238" t="s">
        <v>544</v>
      </c>
      <c r="N156" s="239"/>
      <c r="O156" s="239"/>
      <c r="P156" s="65"/>
      <c r="Q156" s="48"/>
    </row>
    <row r="157" spans="1:17" ht="12">
      <c r="A157" s="168"/>
      <c r="B157" s="148"/>
      <c r="C157" s="148"/>
      <c r="D157" s="169"/>
      <c r="E157" s="148"/>
      <c r="F157" s="169"/>
      <c r="G157" s="48"/>
      <c r="H157" s="540" t="s">
        <v>296</v>
      </c>
      <c r="I157" s="540"/>
      <c r="J157" s="540"/>
      <c r="K157" s="171">
        <f>SUM(K155:K156)</f>
        <v>0.07</v>
      </c>
      <c r="L157" s="225">
        <f>IF(AND(OR(NOT(EXACT(H155,"")),NOT(EXACT(I155,"")),NOT(EXACT(J155,""))),OR(NOT(EXACT(H156,"")),NOT(EXACT(I156,"")),NOT(EXACT(J156,"")))),SUM(L155:L156),"")</f>
      </c>
      <c r="M157" s="238" t="s">
        <v>546</v>
      </c>
      <c r="N157" s="239"/>
      <c r="O157" s="239"/>
      <c r="P157" s="65"/>
      <c r="Q157" s="48"/>
    </row>
    <row r="158" spans="1:17" ht="13.5" customHeight="1">
      <c r="A158" s="238" t="s">
        <v>553</v>
      </c>
      <c r="B158" s="66"/>
      <c r="C158" s="66"/>
      <c r="D158" s="66"/>
      <c r="E158" s="66"/>
      <c r="F158" s="66"/>
      <c r="M158" s="192"/>
      <c r="N158" s="46"/>
      <c r="O158" s="46"/>
      <c r="P158" s="65"/>
      <c r="Q158" s="46"/>
    </row>
    <row r="159" spans="1:17" ht="12">
      <c r="A159" s="539" t="s">
        <v>554</v>
      </c>
      <c r="B159" s="539"/>
      <c r="C159" s="539"/>
      <c r="D159" s="539"/>
      <c r="E159" s="539"/>
      <c r="F159" s="539"/>
      <c r="G159" s="539"/>
      <c r="H159" s="548"/>
      <c r="I159" s="548"/>
      <c r="J159" s="548"/>
      <c r="K159" s="190"/>
      <c r="L159" s="191"/>
      <c r="M159" s="192"/>
      <c r="N159" s="46"/>
      <c r="O159" s="46"/>
      <c r="P159" s="65"/>
      <c r="Q159" s="46"/>
    </row>
    <row r="160" spans="1:17" ht="12">
      <c r="A160" s="193"/>
      <c r="B160" s="161"/>
      <c r="C160" s="161"/>
      <c r="D160" s="161"/>
      <c r="E160" s="161"/>
      <c r="F160" s="161"/>
      <c r="G160" s="194"/>
      <c r="H160" s="195">
        <v>0</v>
      </c>
      <c r="I160" s="196">
        <v>0.75</v>
      </c>
      <c r="J160" s="195">
        <v>1</v>
      </c>
      <c r="K160" s="197"/>
      <c r="L160" s="154"/>
      <c r="M160" s="155" t="s">
        <v>456</v>
      </c>
      <c r="N160" s="156"/>
      <c r="O160" s="156"/>
      <c r="P160" s="65"/>
      <c r="Q160" s="46"/>
    </row>
    <row r="161" spans="1:17" ht="21.75" customHeight="1">
      <c r="A161" s="198"/>
      <c r="B161" s="148"/>
      <c r="C161" s="148"/>
      <c r="D161" s="148"/>
      <c r="E161" s="148"/>
      <c r="F161" s="148"/>
      <c r="G161" s="202"/>
      <c r="H161" s="544" t="s">
        <v>555</v>
      </c>
      <c r="I161" s="544" t="s">
        <v>556</v>
      </c>
      <c r="J161" s="544" t="s">
        <v>557</v>
      </c>
      <c r="K161" s="200"/>
      <c r="L161" s="160"/>
      <c r="M161" s="273"/>
      <c r="N161" s="274"/>
      <c r="O161" s="274"/>
      <c r="P161" s="199"/>
      <c r="Q161" s="202"/>
    </row>
    <row r="162" spans="1:17" ht="28.5" customHeight="1">
      <c r="A162" s="198"/>
      <c r="B162" s="148"/>
      <c r="C162" s="148"/>
      <c r="D162" s="148"/>
      <c r="E162" s="148"/>
      <c r="F162" s="148"/>
      <c r="G162" s="202"/>
      <c r="H162" s="544"/>
      <c r="I162" s="544"/>
      <c r="J162" s="544"/>
      <c r="K162" s="162" t="s">
        <v>304</v>
      </c>
      <c r="L162" s="203" t="s">
        <v>458</v>
      </c>
      <c r="M162" s="549" t="s">
        <v>558</v>
      </c>
      <c r="N162" s="549"/>
      <c r="O162" s="549"/>
      <c r="P162" s="549"/>
      <c r="Q162" s="202"/>
    </row>
    <row r="163" spans="1:17" ht="12">
      <c r="A163" s="204"/>
      <c r="B163" s="571" t="s">
        <v>559</v>
      </c>
      <c r="C163" s="571"/>
      <c r="D163" s="546"/>
      <c r="E163" s="546"/>
      <c r="F163" s="546"/>
      <c r="G163" s="546"/>
      <c r="H163" s="207"/>
      <c r="I163" s="207"/>
      <c r="J163" s="208"/>
      <c r="K163" s="209">
        <f>IF($H$159&gt;=1,$K$168/$H$159,"")</f>
      </c>
      <c r="L163" s="210">
        <f>IF(OR(AND(EXACT(H163,""),EXACT(I163,""),EXACT(J163,"")),EXACT($H$159,"")),"",IF(NOT(EXACT(J163,"")),IF(NOT(EXACT(K163,"")),K163*$J$160,""),IF(NOT(EXACT(I163,"")),IF(NOT(EXACT(K163,"")),K163*$I$160,""),IF(NOT(EXACT(H163,"")),IF(NOT(EXACT(K163,"")),K163*$H$160,"")))))</f>
      </c>
      <c r="M163" s="549"/>
      <c r="N163" s="549"/>
      <c r="O163" s="549"/>
      <c r="P163" s="549"/>
      <c r="Q163" s="46"/>
    </row>
    <row r="164" spans="1:17" ht="12">
      <c r="A164" s="204"/>
      <c r="B164" s="571" t="s">
        <v>560</v>
      </c>
      <c r="C164" s="571"/>
      <c r="D164" s="547"/>
      <c r="E164" s="547"/>
      <c r="F164" s="547"/>
      <c r="G164" s="547"/>
      <c r="H164" s="207"/>
      <c r="I164" s="207"/>
      <c r="J164" s="208"/>
      <c r="K164" s="209">
        <f>IF($H$159&gt;=2,$K$168/$H$159,"")</f>
      </c>
      <c r="L164" s="210">
        <f>IF(OR(AND(EXACT(H164,""),EXACT(I164,""),EXACT(J164,"")),EXACT($H$159,"")),"",IF(NOT(EXACT(J164,"")),IF(NOT(EXACT(K164,"")),K164*$J$160,""),IF(NOT(EXACT(I164,"")),IF(NOT(EXACT(K164,"")),K164*$I$160,""),IF(NOT(EXACT(H164,"")),IF(NOT(EXACT(K164,"")),K164*$H$160,"")))))</f>
      </c>
      <c r="M164" s="549"/>
      <c r="N164" s="549"/>
      <c r="O164" s="549"/>
      <c r="P164" s="549"/>
      <c r="Q164" s="46"/>
    </row>
    <row r="165" spans="1:17" ht="12">
      <c r="A165" s="204"/>
      <c r="B165" s="571" t="s">
        <v>561</v>
      </c>
      <c r="C165" s="571"/>
      <c r="D165" s="547"/>
      <c r="E165" s="547"/>
      <c r="F165" s="547"/>
      <c r="G165" s="547"/>
      <c r="H165" s="207"/>
      <c r="I165" s="207"/>
      <c r="J165" s="208"/>
      <c r="K165" s="209">
        <f>IF($H$159&gt;=3,$K$168/$H$159,"")</f>
      </c>
      <c r="L165" s="210">
        <f>IF(OR(AND(EXACT(H165,""),EXACT(I165,""),EXACT(J165,"")),EXACT($H$159,"")),"",IF(NOT(EXACT(J165,"")),IF(NOT(EXACT(K165,"")),K165*$J$160,""),IF(NOT(EXACT(I165,"")),IF(NOT(EXACT(K165,"")),K165*$I$160,""),IF(NOT(EXACT(H165,"")),IF(NOT(EXACT(K165,"")),K165*$H$160,"")))))</f>
      </c>
      <c r="M165" s="549"/>
      <c r="N165" s="549"/>
      <c r="O165" s="549"/>
      <c r="P165" s="549"/>
      <c r="Q165" s="46"/>
    </row>
    <row r="166" spans="1:17" ht="12">
      <c r="A166" s="204"/>
      <c r="B166" s="571" t="s">
        <v>562</v>
      </c>
      <c r="C166" s="571"/>
      <c r="D166" s="547"/>
      <c r="E166" s="547"/>
      <c r="F166" s="547"/>
      <c r="G166" s="547"/>
      <c r="H166" s="207"/>
      <c r="I166" s="207"/>
      <c r="J166" s="208"/>
      <c r="K166" s="209">
        <f>IF($H$159&gt;=4,$K$168/$H$159,"")</f>
      </c>
      <c r="L166" s="210">
        <f>IF(OR(AND(EXACT(H166,""),EXACT(I166,""),EXACT(J166,"")),EXACT($H$159,"")),"",IF(NOT(EXACT(J166,"")),IF(NOT(EXACT(K166,"")),K166*$J$160,""),IF(NOT(EXACT(I166,"")),IF(NOT(EXACT(K166,"")),K166*$I$160,""),IF(NOT(EXACT(H166,"")),IF(NOT(EXACT(K166,"")),K166*$H$160,"")))))</f>
      </c>
      <c r="M166" s="549"/>
      <c r="N166" s="549"/>
      <c r="O166" s="549"/>
      <c r="P166" s="549"/>
      <c r="Q166" s="46"/>
    </row>
    <row r="167" spans="1:17" ht="12">
      <c r="A167" s="204"/>
      <c r="B167" s="570" t="s">
        <v>563</v>
      </c>
      <c r="C167" s="570"/>
      <c r="D167" s="542"/>
      <c r="E167" s="542"/>
      <c r="F167" s="542"/>
      <c r="G167" s="542"/>
      <c r="H167" s="207"/>
      <c r="I167" s="207"/>
      <c r="J167" s="208"/>
      <c r="K167" s="209">
        <f>IF($H$159&gt;=5,$K$168/$H$159,"")</f>
      </c>
      <c r="L167" s="210">
        <f>IF(OR(AND(EXACT(H167,""),EXACT(I167,""),EXACT(J167,"")),EXACT($H$159,"")),"",IF(NOT(EXACT(J167,"")),IF(NOT(EXACT(K167,"")),K167*$J$160,""),IF(NOT(EXACT(I167,"")),IF(NOT(EXACT(K167,"")),K167*$I$160,""),IF(NOT(EXACT(H167,"")),IF(NOT(EXACT(K167,"")),K167*$H$160,"")))))</f>
      </c>
      <c r="M167" s="549"/>
      <c r="N167" s="549"/>
      <c r="O167" s="549"/>
      <c r="P167" s="549"/>
      <c r="Q167" s="46"/>
    </row>
    <row r="168" spans="1:17" ht="12">
      <c r="A168" s="192"/>
      <c r="B168" s="161"/>
      <c r="C168" s="161"/>
      <c r="D168" s="161"/>
      <c r="E168" s="161"/>
      <c r="F168" s="161"/>
      <c r="G168" s="161"/>
      <c r="H168" s="540" t="s">
        <v>296</v>
      </c>
      <c r="I168" s="540"/>
      <c r="J168" s="540"/>
      <c r="K168" s="171">
        <v>0.1</v>
      </c>
      <c r="L168" s="218">
        <f>IF(EXACT(H159,""),"",IF(H159=0,K168,SUM(L163:L167)))</f>
      </c>
      <c r="M168" s="549"/>
      <c r="N168" s="549"/>
      <c r="O168" s="549"/>
      <c r="P168" s="549"/>
      <c r="Q168" s="46"/>
    </row>
    <row r="169" spans="1:17" ht="12">
      <c r="A169" s="219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219"/>
      <c r="N169" s="175"/>
      <c r="O169" s="175"/>
      <c r="P169" s="68"/>
      <c r="Q169" s="46"/>
    </row>
    <row r="170" spans="1:17" ht="1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</row>
    <row r="171" spans="1:17" ht="15">
      <c r="A171" s="266" t="s">
        <v>564</v>
      </c>
      <c r="B171" s="267"/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7" t="s">
        <v>296</v>
      </c>
      <c r="N171" s="268">
        <f>IF(AND(NOT(EXACT(H175,"")),NOT(EXACT(H176,""))),P171,IF(AND(NOT(EXACT(L181,"")),NOT(EXACT(L186,""))),(L181+L186)*100,IF(AND(EXACT(L181,""),NOT(EXACT(L186,""))),L186*100,IF(AND(NOT(EXACT(L181,"")),EXACT(L186,"")),L181*100,0))))</f>
        <v>0</v>
      </c>
      <c r="O171" s="267" t="s">
        <v>297</v>
      </c>
      <c r="P171" s="269">
        <v>40</v>
      </c>
      <c r="Q171" s="180"/>
    </row>
    <row r="172" spans="1:17" ht="15">
      <c r="A172" s="181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3" t="s">
        <v>452</v>
      </c>
      <c r="N172" s="184"/>
      <c r="O172" s="184"/>
      <c r="P172" s="185"/>
      <c r="Q172" s="180"/>
    </row>
    <row r="173" spans="1:17" ht="12.75" customHeight="1">
      <c r="A173" s="57"/>
      <c r="B173" s="148"/>
      <c r="C173" s="148"/>
      <c r="D173" s="153"/>
      <c r="E173" s="148"/>
      <c r="F173" s="543"/>
      <c r="G173" s="46"/>
      <c r="H173" s="544" t="s">
        <v>453</v>
      </c>
      <c r="I173" s="544" t="s">
        <v>455</v>
      </c>
      <c r="J173" s="544"/>
      <c r="K173" s="276"/>
      <c r="L173" s="277"/>
      <c r="M173" s="46"/>
      <c r="N173" s="46"/>
      <c r="O173" s="46"/>
      <c r="P173" s="65"/>
      <c r="Q173" s="46"/>
    </row>
    <row r="174" spans="1:17" ht="12">
      <c r="A174" s="157" t="s">
        <v>565</v>
      </c>
      <c r="B174" s="148"/>
      <c r="C174" s="148"/>
      <c r="D174" s="158"/>
      <c r="E174" s="159"/>
      <c r="F174" s="543"/>
      <c r="G174" s="161"/>
      <c r="H174" s="544"/>
      <c r="I174" s="544"/>
      <c r="J174" s="544"/>
      <c r="K174" s="162"/>
      <c r="L174" s="163"/>
      <c r="M174" s="46"/>
      <c r="N174" s="46"/>
      <c r="O174" s="46"/>
      <c r="P174" s="65"/>
      <c r="Q174" s="46"/>
    </row>
    <row r="175" spans="1:17" ht="12">
      <c r="A175" s="539" t="s">
        <v>566</v>
      </c>
      <c r="B175" s="539"/>
      <c r="C175" s="539"/>
      <c r="D175" s="539"/>
      <c r="E175" s="539"/>
      <c r="F175" s="539"/>
      <c r="G175" s="539"/>
      <c r="H175" s="208"/>
      <c r="I175" s="208"/>
      <c r="J175" s="170"/>
      <c r="K175" s="224"/>
      <c r="L175" s="224"/>
      <c r="M175" s="46"/>
      <c r="N175" s="46"/>
      <c r="O175" s="46"/>
      <c r="P175" s="65"/>
      <c r="Q175" s="46"/>
    </row>
    <row r="176" spans="1:17" ht="12">
      <c r="A176" s="539" t="s">
        <v>567</v>
      </c>
      <c r="B176" s="539"/>
      <c r="C176" s="539"/>
      <c r="D176" s="539"/>
      <c r="E176" s="539"/>
      <c r="F176" s="539"/>
      <c r="G176" s="539"/>
      <c r="H176" s="208"/>
      <c r="I176" s="208"/>
      <c r="J176" s="170"/>
      <c r="K176" s="224"/>
      <c r="L176" s="224"/>
      <c r="M176" s="46"/>
      <c r="N176" s="46"/>
      <c r="O176" s="46"/>
      <c r="P176" s="65"/>
      <c r="Q176" s="46"/>
    </row>
    <row r="177" spans="1:17" ht="12">
      <c r="A177" s="192"/>
      <c r="B177" s="161"/>
      <c r="C177" s="161"/>
      <c r="D177" s="161"/>
      <c r="E177" s="161"/>
      <c r="F177" s="161"/>
      <c r="G177" s="161"/>
      <c r="H177" s="253"/>
      <c r="I177" s="253"/>
      <c r="J177" s="253"/>
      <c r="K177" s="278"/>
      <c r="L177" s="279"/>
      <c r="M177" s="46"/>
      <c r="N177" s="46"/>
      <c r="O177" s="46"/>
      <c r="P177" s="65"/>
      <c r="Q177" s="46"/>
    </row>
    <row r="178" spans="1:17" ht="12">
      <c r="A178" s="221"/>
      <c r="B178" s="222"/>
      <c r="C178" s="222"/>
      <c r="D178" s="222"/>
      <c r="E178" s="222"/>
      <c r="F178" s="222"/>
      <c r="G178" s="223"/>
      <c r="H178" s="151">
        <v>0</v>
      </c>
      <c r="I178" s="152">
        <v>0.25</v>
      </c>
      <c r="J178" s="151">
        <v>1</v>
      </c>
      <c r="K178" s="223"/>
      <c r="L178" s="67"/>
      <c r="M178" s="46"/>
      <c r="N178" s="46"/>
      <c r="O178" s="46"/>
      <c r="P178" s="65"/>
      <c r="Q178" s="46"/>
    </row>
    <row r="179" spans="1:17" ht="48" customHeight="1">
      <c r="A179" s="157" t="s">
        <v>568</v>
      </c>
      <c r="B179" s="148"/>
      <c r="C179" s="148"/>
      <c r="D179" s="148"/>
      <c r="E179" s="148"/>
      <c r="F179" s="148"/>
      <c r="G179" s="161"/>
      <c r="H179" s="229" t="s">
        <v>569</v>
      </c>
      <c r="I179" s="229" t="s">
        <v>570</v>
      </c>
      <c r="J179" s="229" t="s">
        <v>571</v>
      </c>
      <c r="K179" s="162" t="s">
        <v>304</v>
      </c>
      <c r="L179" s="163" t="s">
        <v>458</v>
      </c>
      <c r="M179" s="46"/>
      <c r="N179" s="46"/>
      <c r="O179" s="46"/>
      <c r="P179" s="65"/>
      <c r="Q179" s="46"/>
    </row>
    <row r="180" spans="1:17" ht="12">
      <c r="A180" s="539" t="s">
        <v>572</v>
      </c>
      <c r="B180" s="539"/>
      <c r="C180" s="539"/>
      <c r="D180" s="539"/>
      <c r="E180" s="539"/>
      <c r="F180" s="539"/>
      <c r="G180" s="539"/>
      <c r="H180" s="208"/>
      <c r="I180" s="166"/>
      <c r="J180" s="166"/>
      <c r="K180" s="167"/>
      <c r="L180" s="167"/>
      <c r="M180" s="46"/>
      <c r="N180" s="46"/>
      <c r="O180" s="46"/>
      <c r="P180" s="65"/>
      <c r="Q180" s="46"/>
    </row>
    <row r="181" spans="1:17" ht="12">
      <c r="A181" s="221"/>
      <c r="B181" s="222"/>
      <c r="C181" s="222"/>
      <c r="D181" s="222"/>
      <c r="E181" s="222"/>
      <c r="F181" s="222"/>
      <c r="G181" s="67"/>
      <c r="H181" s="540" t="s">
        <v>296</v>
      </c>
      <c r="I181" s="540"/>
      <c r="J181" s="540"/>
      <c r="K181" s="280" t="str">
        <f>IF(AND(NOT(EXACT(I175,"")),NOT(EXACT(I176,""))),P171/2/100,IF(AND(NOT(EXACT(I175,"")),EXACT(H175,"")),P171/100,"0%"))</f>
        <v>0%</v>
      </c>
      <c r="L181" s="230">
        <f>IF(AND(EXACT(H180,""),EXACT(I180,""),EXACT(J180,"")),"",IF(NOT(EXACT(J180,"")),IF(NOT(EXACT(K181,"")),K181*J178,""),IF(NOT(EXACT(I180,"")),IF(NOT(EXACT(K181,"")),K181*I178,""),IF(NOT(EXACT(H180,"")),IF(NOT(EXACT(K181,"")),K181*H178,"")))))</f>
      </c>
      <c r="M181" s="46"/>
      <c r="N181" s="46"/>
      <c r="O181" s="46"/>
      <c r="P181" s="65"/>
      <c r="Q181" s="46"/>
    </row>
    <row r="182" spans="1:17" ht="12">
      <c r="A182" s="168"/>
      <c r="B182" s="148"/>
      <c r="C182" s="148"/>
      <c r="D182" s="169"/>
      <c r="E182" s="148"/>
      <c r="F182" s="169"/>
      <c r="G182" s="48"/>
      <c r="H182" s="226"/>
      <c r="I182" s="226"/>
      <c r="J182" s="226"/>
      <c r="K182" s="281"/>
      <c r="L182" s="282"/>
      <c r="M182" s="46"/>
      <c r="N182" s="46"/>
      <c r="O182" s="46"/>
      <c r="P182" s="65"/>
      <c r="Q182" s="46"/>
    </row>
    <row r="183" spans="1:17" ht="13.5" customHeight="1">
      <c r="A183" s="221"/>
      <c r="B183" s="222"/>
      <c r="C183" s="222"/>
      <c r="D183" s="222"/>
      <c r="E183" s="222"/>
      <c r="F183" s="222"/>
      <c r="G183" s="223"/>
      <c r="H183" s="151">
        <v>0</v>
      </c>
      <c r="I183" s="152">
        <v>0.25</v>
      </c>
      <c r="J183" s="151">
        <v>1</v>
      </c>
      <c r="K183" s="223"/>
      <c r="L183" s="67"/>
      <c r="P183" s="65"/>
      <c r="Q183" s="46"/>
    </row>
    <row r="184" spans="1:17" ht="46.5" customHeight="1">
      <c r="A184" s="157" t="s">
        <v>573</v>
      </c>
      <c r="B184" s="148"/>
      <c r="C184" s="148"/>
      <c r="D184" s="148"/>
      <c r="E184" s="148"/>
      <c r="F184" s="148"/>
      <c r="G184" s="161"/>
      <c r="H184" s="229" t="s">
        <v>569</v>
      </c>
      <c r="I184" s="229" t="s">
        <v>570</v>
      </c>
      <c r="J184" s="229" t="s">
        <v>571</v>
      </c>
      <c r="K184" s="162" t="s">
        <v>304</v>
      </c>
      <c r="L184" s="163" t="s">
        <v>458</v>
      </c>
      <c r="P184" s="65"/>
      <c r="Q184" s="46"/>
    </row>
    <row r="185" spans="1:17" ht="13.5" customHeight="1">
      <c r="A185" s="539" t="s">
        <v>572</v>
      </c>
      <c r="B185" s="539"/>
      <c r="C185" s="539"/>
      <c r="D185" s="539"/>
      <c r="E185" s="539"/>
      <c r="F185" s="539"/>
      <c r="G185" s="539"/>
      <c r="H185" s="208"/>
      <c r="I185" s="166"/>
      <c r="J185" s="166"/>
      <c r="K185" s="167"/>
      <c r="L185" s="167"/>
      <c r="P185" s="65"/>
      <c r="Q185" s="46"/>
    </row>
    <row r="186" spans="1:17" ht="13.5" customHeight="1">
      <c r="A186" s="221"/>
      <c r="B186" s="222"/>
      <c r="C186" s="222"/>
      <c r="D186" s="222"/>
      <c r="E186" s="222"/>
      <c r="F186" s="222"/>
      <c r="G186" s="67"/>
      <c r="H186" s="540" t="s">
        <v>296</v>
      </c>
      <c r="I186" s="540"/>
      <c r="J186" s="540"/>
      <c r="K186" s="280" t="str">
        <f>IF(AND(NOT(EXACT(I175,"")),NOT(EXACT(I176,""))),P171/2/100,IF(AND(NOT(EXACT(I176,"")),EXACT(H176,"")),P171/100,"0%"))</f>
        <v>0%</v>
      </c>
      <c r="L186" s="230">
        <f>IF(AND(EXACT(H185,""),EXACT(I185,""),EXACT(J185,"")),"",IF(NOT(EXACT(J185,"")),IF(NOT(EXACT(K186,"")),K186*J183,""),IF(NOT(EXACT(I185,"")),IF(NOT(EXACT(K186,"")),K186*I183,""),IF(NOT(EXACT(H185,"")),IF(NOT(EXACT(K186,"")),K186*H183,"")))))</f>
      </c>
      <c r="P186" s="65"/>
      <c r="Q186" s="46"/>
    </row>
    <row r="187" spans="1:17" ht="13.5" customHeight="1">
      <c r="A187" s="214"/>
      <c r="B187" s="159"/>
      <c r="C187" s="159"/>
      <c r="D187" s="283"/>
      <c r="E187" s="159"/>
      <c r="F187" s="283"/>
      <c r="G187" s="284"/>
      <c r="H187" s="285"/>
      <c r="I187" s="285"/>
      <c r="J187" s="285"/>
      <c r="K187" s="286"/>
      <c r="L187" s="287"/>
      <c r="M187" s="175"/>
      <c r="N187" s="175"/>
      <c r="O187" s="175"/>
      <c r="P187" s="68"/>
      <c r="Q187" s="46"/>
    </row>
    <row r="191" ht="12">
      <c r="S191" s="288"/>
    </row>
  </sheetData>
  <sheetProtection password="DD05" sheet="1" objects="1" scenarios="1"/>
  <mergeCells count="161">
    <mergeCell ref="H8:M8"/>
    <mergeCell ref="C9:M9"/>
    <mergeCell ref="A14:B14"/>
    <mergeCell ref="G14:K14"/>
    <mergeCell ref="A2:Q2"/>
    <mergeCell ref="A4:Q4"/>
    <mergeCell ref="A6:C6"/>
    <mergeCell ref="D6:G6"/>
    <mergeCell ref="H6:M6"/>
    <mergeCell ref="N6:P6"/>
    <mergeCell ref="A8:C8"/>
    <mergeCell ref="D8:G8"/>
    <mergeCell ref="A11:B11"/>
    <mergeCell ref="G11:K11"/>
    <mergeCell ref="A12:B12"/>
    <mergeCell ref="G12:K12"/>
    <mergeCell ref="A13:B13"/>
    <mergeCell ref="G13:K13"/>
    <mergeCell ref="A16:P16"/>
    <mergeCell ref="H22:H23"/>
    <mergeCell ref="I22:I23"/>
    <mergeCell ref="J22:J23"/>
    <mergeCell ref="M23:P24"/>
    <mergeCell ref="A24:G24"/>
    <mergeCell ref="H25:J25"/>
    <mergeCell ref="M25:P26"/>
    <mergeCell ref="H29:J29"/>
    <mergeCell ref="H31:H32"/>
    <mergeCell ref="I31:I32"/>
    <mergeCell ref="J31:J32"/>
    <mergeCell ref="D33:G33"/>
    <mergeCell ref="D34:G34"/>
    <mergeCell ref="D35:G35"/>
    <mergeCell ref="D36:G36"/>
    <mergeCell ref="H37:J37"/>
    <mergeCell ref="F40:F41"/>
    <mergeCell ref="H40:H41"/>
    <mergeCell ref="I40:I41"/>
    <mergeCell ref="J40:J41"/>
    <mergeCell ref="I57:I58"/>
    <mergeCell ref="J57:J58"/>
    <mergeCell ref="M41:P48"/>
    <mergeCell ref="A42:G42"/>
    <mergeCell ref="A43:G43"/>
    <mergeCell ref="A44:G44"/>
    <mergeCell ref="A45:G45"/>
    <mergeCell ref="H46:J46"/>
    <mergeCell ref="H64:J64"/>
    <mergeCell ref="A68:G68"/>
    <mergeCell ref="H69:J69"/>
    <mergeCell ref="A73:G73"/>
    <mergeCell ref="A50:G50"/>
    <mergeCell ref="M50:P52"/>
    <mergeCell ref="A51:G51"/>
    <mergeCell ref="H52:J52"/>
    <mergeCell ref="F57:F58"/>
    <mergeCell ref="H57:H58"/>
    <mergeCell ref="M82:P87"/>
    <mergeCell ref="A83:G83"/>
    <mergeCell ref="A84:G84"/>
    <mergeCell ref="H85:J85"/>
    <mergeCell ref="A59:C59"/>
    <mergeCell ref="M59:P63"/>
    <mergeCell ref="A60:C60"/>
    <mergeCell ref="A61:C61"/>
    <mergeCell ref="A62:C62"/>
    <mergeCell ref="A63:C63"/>
    <mergeCell ref="H74:J74"/>
    <mergeCell ref="F80:F81"/>
    <mergeCell ref="H80:H81"/>
    <mergeCell ref="I80:I81"/>
    <mergeCell ref="J80:J81"/>
    <mergeCell ref="A82:G82"/>
    <mergeCell ref="A89:G89"/>
    <mergeCell ref="H90:J90"/>
    <mergeCell ref="A94:G94"/>
    <mergeCell ref="M94:P96"/>
    <mergeCell ref="H95:J95"/>
    <mergeCell ref="A102:G102"/>
    <mergeCell ref="H111:H112"/>
    <mergeCell ref="I111:I112"/>
    <mergeCell ref="J111:J112"/>
    <mergeCell ref="A113:G113"/>
    <mergeCell ref="M103:P105"/>
    <mergeCell ref="A104:G104"/>
    <mergeCell ref="H105:J105"/>
    <mergeCell ref="A103:G103"/>
    <mergeCell ref="A114:G114"/>
    <mergeCell ref="H115:J115"/>
    <mergeCell ref="A117:G117"/>
    <mergeCell ref="H117:J117"/>
    <mergeCell ref="H119:H120"/>
    <mergeCell ref="I119:I120"/>
    <mergeCell ref="C122:G122"/>
    <mergeCell ref="C123:G123"/>
    <mergeCell ref="C124:G124"/>
    <mergeCell ref="C125:G125"/>
    <mergeCell ref="J119:J120"/>
    <mergeCell ref="D121:G121"/>
    <mergeCell ref="C126:G126"/>
    <mergeCell ref="C127:G127"/>
    <mergeCell ref="D128:G128"/>
    <mergeCell ref="C129:G129"/>
    <mergeCell ref="M132:P135"/>
    <mergeCell ref="C133:G133"/>
    <mergeCell ref="C134:G134"/>
    <mergeCell ref="H135:J135"/>
    <mergeCell ref="C130:G130"/>
    <mergeCell ref="C131:G131"/>
    <mergeCell ref="C132:G132"/>
    <mergeCell ref="B146:C146"/>
    <mergeCell ref="D146:G146"/>
    <mergeCell ref="H140:J140"/>
    <mergeCell ref="H142:H143"/>
    <mergeCell ref="I142:I143"/>
    <mergeCell ref="J142:J143"/>
    <mergeCell ref="B147:C147"/>
    <mergeCell ref="D147:G147"/>
    <mergeCell ref="B144:C144"/>
    <mergeCell ref="D144:G144"/>
    <mergeCell ref="B145:C145"/>
    <mergeCell ref="D145:G145"/>
    <mergeCell ref="M162:P168"/>
    <mergeCell ref="B148:C148"/>
    <mergeCell ref="D148:G148"/>
    <mergeCell ref="B149:C149"/>
    <mergeCell ref="D149:G149"/>
    <mergeCell ref="H150:J150"/>
    <mergeCell ref="F153:F154"/>
    <mergeCell ref="H153:H154"/>
    <mergeCell ref="I153:I154"/>
    <mergeCell ref="J153:J154"/>
    <mergeCell ref="B166:C166"/>
    <mergeCell ref="D166:G166"/>
    <mergeCell ref="A155:G155"/>
    <mergeCell ref="A156:G156"/>
    <mergeCell ref="H157:J157"/>
    <mergeCell ref="A159:G159"/>
    <mergeCell ref="H159:J159"/>
    <mergeCell ref="H161:H162"/>
    <mergeCell ref="I161:I162"/>
    <mergeCell ref="J161:J162"/>
    <mergeCell ref="B163:C163"/>
    <mergeCell ref="D163:G163"/>
    <mergeCell ref="B164:C164"/>
    <mergeCell ref="D164:G164"/>
    <mergeCell ref="B165:C165"/>
    <mergeCell ref="D165:G165"/>
    <mergeCell ref="B167:C167"/>
    <mergeCell ref="D167:G167"/>
    <mergeCell ref="H168:J168"/>
    <mergeCell ref="F173:F174"/>
    <mergeCell ref="H173:H174"/>
    <mergeCell ref="I173:I174"/>
    <mergeCell ref="J173:J174"/>
    <mergeCell ref="A185:G185"/>
    <mergeCell ref="H186:J186"/>
    <mergeCell ref="A175:G175"/>
    <mergeCell ref="A176:G176"/>
    <mergeCell ref="A180:G180"/>
    <mergeCell ref="H181:J181"/>
  </mergeCells>
  <conditionalFormatting sqref="H42:J45 H50:J51 H59:J63 H82:J84 H113:J114 H116:J116 H121:J121 H155:J156 H175:I176 L59:L63 L116 L121">
    <cfRule type="expression" priority="1" dxfId="3" stopIfTrue="1">
      <formula>NOT(EXACT('4a-Progress_mini-rocket'!$D42,""))</formula>
    </cfRule>
  </conditionalFormatting>
  <conditionalFormatting sqref="L42:L45 L50:L51 L82:L84 L102:L104 L113:L114 L155:L156">
    <cfRule type="expression" priority="2" dxfId="3" stopIfTrue="1">
      <formula>OR(NOT(EXACT('4a-Progress_mini-rocket'!#REF!,"")),NOT(EXACT('4a-Progress_mini-rocket'!#REF!,"")),NOT(EXACT('4a-Progress_mini-rocket'!#REF!,"")))</formula>
    </cfRule>
  </conditionalFormatting>
  <conditionalFormatting sqref="L115 L157">
    <cfRule type="expression" priority="3" dxfId="3" stopIfTrue="1">
      <formula>AND(OR(NOT(EXACT('4a-Progress_mini-rocket'!#REF!,"")),NOT(EXACT('4a-Progress_mini-rocket'!#REF!,"")),NOT(EXACT('4a-Progress_mini-rocket'!#REF!,""))),OR(NOT(EXACT('4a-Progress_mini-rocket'!#REF!,"")),NOT(EXACT('4a-Progress_mini-rocket'!#REF!,"")),NOT(EXACT('4a-Progress_mini-rocket'!#REF!,""))))</formula>
    </cfRule>
  </conditionalFormatting>
  <conditionalFormatting sqref="L25 L69 L74 L90 L95">
    <cfRule type="expression" priority="4" dxfId="3" stopIfTrue="1">
      <formula>OR(NOT(EXACT('4a-Progress_mini-rocket'!#REF!,"")),NOT(EXACT('4a-Progress_mini-rocket'!#REF!,"")),NOT(EXACT('4a-Progress_mini-rocket'!#REF!,"")))</formula>
    </cfRule>
  </conditionalFormatting>
  <conditionalFormatting sqref="L46 L52">
    <cfRule type="expression" priority="5" dxfId="3" stopIfTrue="1">
      <formula>AND(OR(NOT(EXACT('4a-Progress_mini-rocket'!#REF!,"")),NOT(EXACT('4a-Progress_mini-rocket'!#REF!,"")),NOT(EXACT('4a-Progress_mini-rocket'!#REF!,""))),OR(NOT(EXACT('4a-Progress_mini-rocket'!#REF!,"")),NOT(EXACT('4a-Progress_mini-rocket'!#REF!,"")),NOT(EXACT('4a-Progress_mini-rocket'!#REF!,""))),OR(NOT(EXACT('4a-Progress_mini-rocket'!#REF!,"")),NOT(EXACT('4a-Progress_mini-rocket'!#REF!,"")),NOT(EXACT('4a-Progress_mini-rocket'!#REF!,""))))</formula>
    </cfRule>
  </conditionalFormatting>
  <conditionalFormatting sqref="L105">
    <cfRule type="expression" priority="6" dxfId="3" stopIfTrue="1">
      <formula>AND(NOT(EXACT('4a-Progress_mini-rocket'!#REF!,"")),NOT(EXACT('4a-Progress_mini-rocket'!#REF!,"")),NOT(EXACT('4a-Progress_mini-rocket'!#REF!,"")),NOT(EXACT('4a-Progress_mini-rocket'!#REF!,"")))</formula>
    </cfRule>
  </conditionalFormatting>
  <conditionalFormatting sqref="L64">
    <cfRule type="expression" priority="7" dxfId="3" stopIfTrue="1">
      <formula>AND(NOT(EXACT('4a-Progress_mini-rocket'!$L$59,"")),NOT(EXACT('4a-Progress_mini-rocket'!$L$60,"")),NOT(EXACT('4a-Progress_mini-rocket'!$L$61,"")),NOT(EXACT('4a-Progress_mini-rocket'!$L$62,"")),NOT(EXACT('4a-Progress_mini-rocket'!$L$63,"")))</formula>
    </cfRule>
  </conditionalFormatting>
  <conditionalFormatting sqref="B144 D144">
    <cfRule type="expression" priority="8" dxfId="3" stopIfTrue="1">
      <formula>AND(NOT(EXACT('4a-Progress_mini-rocket'!$H$140,"")),'4a-Progress_mini-rocket'!$H$140&lt;1)</formula>
    </cfRule>
  </conditionalFormatting>
  <conditionalFormatting sqref="B145 D145 D163">
    <cfRule type="expression" priority="9" dxfId="3" stopIfTrue="1">
      <formula>AND(NOT(EXACT('4a-Progress_mini-rocket'!$H$140,"")),'4a-Progress_mini-rocket'!$H$140&lt;2)</formula>
    </cfRule>
  </conditionalFormatting>
  <conditionalFormatting sqref="B146 D146 D164">
    <cfRule type="expression" priority="10" dxfId="3" stopIfTrue="1">
      <formula>AND(NOT(EXACT('4a-Progress_mini-rocket'!$H$140,"")),'4a-Progress_mini-rocket'!$H$140&lt;3)</formula>
    </cfRule>
  </conditionalFormatting>
  <conditionalFormatting sqref="B147 D147 D165">
    <cfRule type="expression" priority="11" dxfId="3" stopIfTrue="1">
      <formula>AND(NOT(EXACT('4a-Progress_mini-rocket'!$H$140,"")),'4a-Progress_mini-rocket'!$H$140&lt;4)</formula>
    </cfRule>
  </conditionalFormatting>
  <conditionalFormatting sqref="B148 D148 D166">
    <cfRule type="expression" priority="12" dxfId="3" stopIfTrue="1">
      <formula>AND(NOT(EXACT('4a-Progress_mini-rocket'!$H$140,"")),'4a-Progress_mini-rocket'!$H$140&lt;5)</formula>
    </cfRule>
  </conditionalFormatting>
  <conditionalFormatting sqref="B149 D149 D167">
    <cfRule type="expression" priority="13" dxfId="3" stopIfTrue="1">
      <formula>AND(NOT(EXACT('4a-Progress_mini-rocket'!$H$140,"")),'4a-Progress_mini-rocket'!$H$140&lt;6)</formula>
    </cfRule>
  </conditionalFormatting>
  <conditionalFormatting sqref="H144:J144">
    <cfRule type="expression" priority="14" dxfId="27" stopIfTrue="1">
      <formula>AND(NOT(EXACT('4a-Progress_mini-rocket'!$H$140,"")),'4a-Progress_mini-rocket'!$H$140&lt;1)</formula>
    </cfRule>
  </conditionalFormatting>
  <conditionalFormatting sqref="H145:J145">
    <cfRule type="expression" priority="15" dxfId="27" stopIfTrue="1">
      <formula>AND(NOT(EXACT('4a-Progress_mini-rocket'!$H$140,"")),'4a-Progress_mini-rocket'!$H$140&lt;2)</formula>
    </cfRule>
  </conditionalFormatting>
  <conditionalFormatting sqref="H146:J146">
    <cfRule type="expression" priority="16" dxfId="27" stopIfTrue="1">
      <formula>AND(NOT(EXACT('4a-Progress_mini-rocket'!$H$140,"")),'4a-Progress_mini-rocket'!$H$140&lt;3)</formula>
    </cfRule>
  </conditionalFormatting>
  <conditionalFormatting sqref="H147:J147">
    <cfRule type="expression" priority="17" dxfId="27" stopIfTrue="1">
      <formula>AND(NOT(EXACT('4a-Progress_mini-rocket'!$H$140,"")),'4a-Progress_mini-rocket'!$H$140&lt;4)</formula>
    </cfRule>
  </conditionalFormatting>
  <conditionalFormatting sqref="H148:J148">
    <cfRule type="expression" priority="18" dxfId="27" stopIfTrue="1">
      <formula>AND(NOT(EXACT('4a-Progress_mini-rocket'!$H$140,"")),'4a-Progress_mini-rocket'!$H$140&lt;5)</formula>
    </cfRule>
  </conditionalFormatting>
  <conditionalFormatting sqref="H149:J149">
    <cfRule type="expression" priority="19" dxfId="27" stopIfTrue="1">
      <formula>AND(NOT(EXACT('4a-Progress_mini-rocket'!$H$140,"")),'4a-Progress_mini-rocket'!$H$140&lt;6)</formula>
    </cfRule>
  </conditionalFormatting>
  <conditionalFormatting sqref="K144:L149 L150">
    <cfRule type="expression" priority="20" dxfId="3" stopIfTrue="1">
      <formula>NOT(EXACT('4a-Progress_mini-rocket'!$H$140,""))</formula>
    </cfRule>
  </conditionalFormatting>
  <conditionalFormatting sqref="B163">
    <cfRule type="expression" priority="21" dxfId="3" stopIfTrue="1">
      <formula>AND(NOT(EXACT('4a-Progress_mini-rocket'!$H$159,"")),'4a-Progress_mini-rocket'!$H$159&lt;1)</formula>
    </cfRule>
  </conditionalFormatting>
  <conditionalFormatting sqref="B164">
    <cfRule type="expression" priority="22" dxfId="3" stopIfTrue="1">
      <formula>AND(NOT(EXACT('4a-Progress_mini-rocket'!$H$159,"")),'4a-Progress_mini-rocket'!$H$159&lt;2)</formula>
    </cfRule>
  </conditionalFormatting>
  <conditionalFormatting sqref="B166">
    <cfRule type="expression" priority="23" dxfId="3" stopIfTrue="1">
      <formula>AND(NOT(EXACT('4a-Progress_mini-rocket'!$H$159,"")),'4a-Progress_mini-rocket'!$H$159&lt;4)</formula>
    </cfRule>
  </conditionalFormatting>
  <conditionalFormatting sqref="B165">
    <cfRule type="expression" priority="24" dxfId="3" stopIfTrue="1">
      <formula>AND(NOT(EXACT('4a-Progress_mini-rocket'!$H$159,"")),'4a-Progress_mini-rocket'!$H$159&lt;3)</formula>
    </cfRule>
  </conditionalFormatting>
  <conditionalFormatting sqref="B167">
    <cfRule type="expression" priority="25" dxfId="3" stopIfTrue="1">
      <formula>AND(NOT(EXACT('4a-Progress_mini-rocket'!$H$159,"")),'4a-Progress_mini-rocket'!$H$159&lt;5)</formula>
    </cfRule>
  </conditionalFormatting>
  <conditionalFormatting sqref="H163:J163">
    <cfRule type="expression" priority="26" dxfId="27" stopIfTrue="1">
      <formula>AND(NOT(EXACT('4a-Progress_mini-rocket'!$H$159,"")),'4a-Progress_mini-rocket'!$H$159&lt;1)</formula>
    </cfRule>
  </conditionalFormatting>
  <conditionalFormatting sqref="H164:J164">
    <cfRule type="expression" priority="27" dxfId="27" stopIfTrue="1">
      <formula>AND(NOT(EXACT('4a-Progress_mini-rocket'!$H$159,"")),'4a-Progress_mini-rocket'!$H$159&lt;2)</formula>
    </cfRule>
  </conditionalFormatting>
  <conditionalFormatting sqref="H165:J165">
    <cfRule type="expression" priority="28" dxfId="27" stopIfTrue="1">
      <formula>AND(NOT(EXACT('4a-Progress_mini-rocket'!$H$159,"")),'4a-Progress_mini-rocket'!$H$159&lt;3)</formula>
    </cfRule>
  </conditionalFormatting>
  <conditionalFormatting sqref="H166:J166">
    <cfRule type="expression" priority="29" dxfId="27" stopIfTrue="1">
      <formula>AND(NOT(EXACT('4a-Progress_mini-rocket'!$H$159,"")),'4a-Progress_mini-rocket'!$H$159&lt;4)</formula>
    </cfRule>
  </conditionalFormatting>
  <conditionalFormatting sqref="H167:J167">
    <cfRule type="expression" priority="30" dxfId="27" stopIfTrue="1">
      <formula>AND(NOT(EXACT('4a-Progress_mini-rocket'!$H$159,"")),'4a-Progress_mini-rocket'!$H$159&lt;5)</formula>
    </cfRule>
  </conditionalFormatting>
  <conditionalFormatting sqref="K163:L167 L168">
    <cfRule type="expression" priority="31" dxfId="3" stopIfTrue="1">
      <formula>NOT(EXACT('4a-Progress_mini-rocket'!$H$159,""))</formula>
    </cfRule>
  </conditionalFormatting>
  <conditionalFormatting sqref="A180 A185">
    <cfRule type="expression" priority="32" dxfId="3" stopIfTrue="1">
      <formula>NOT(EXACT('4a-Progress_mini-rocket'!$H$175,""))</formula>
    </cfRule>
  </conditionalFormatting>
  <conditionalFormatting sqref="H180:J180 L181">
    <cfRule type="expression" priority="33" dxfId="3" stopIfTrue="1">
      <formula>NOT(EXACT('4a-Progress_mini-rocket'!$H$175,""))</formula>
    </cfRule>
  </conditionalFormatting>
  <conditionalFormatting sqref="H185:J185 L186">
    <cfRule type="expression" priority="34" dxfId="3" stopIfTrue="1">
      <formula>NOT(EXACT('4a-Progress_mini-rocket'!$H$176,""))</formula>
    </cfRule>
  </conditionalFormatting>
  <conditionalFormatting sqref="K33:L36 L37 L128">
    <cfRule type="expression" priority="35" dxfId="3" stopIfTrue="1">
      <formula>NOT(EXACT('4a-Progress_mini-rocket'!$H$29,""))</formula>
    </cfRule>
  </conditionalFormatting>
  <conditionalFormatting sqref="B36:D36">
    <cfRule type="expression" priority="36" dxfId="3" stopIfTrue="1">
      <formula>AND(NOT(EXACT('4a-Progress_mini-rocket'!$H$29,"")),'4a-Progress_mini-rocket'!$H$29&lt;4)</formula>
    </cfRule>
  </conditionalFormatting>
  <conditionalFormatting sqref="H36:J36">
    <cfRule type="expression" priority="37" dxfId="27" stopIfTrue="1">
      <formula>AND(NOT(EXACT('4a-Progress_mini-rocket'!$H$29,"")),'4a-Progress_mini-rocket'!$H$29&lt;4)</formula>
    </cfRule>
  </conditionalFormatting>
  <conditionalFormatting sqref="B34:D34">
    <cfRule type="expression" priority="38" dxfId="3" stopIfTrue="1">
      <formula>AND(NOT(EXACT('4a-Progress_mini-rocket'!$H$29,"")),'4a-Progress_mini-rocket'!$H$29&lt;2)</formula>
    </cfRule>
  </conditionalFormatting>
  <conditionalFormatting sqref="B35:D35">
    <cfRule type="expression" priority="39" dxfId="3" stopIfTrue="1">
      <formula>AND(NOT(EXACT('4a-Progress_mini-rocket'!$H$29,"")),'4a-Progress_mini-rocket'!$H$29&lt;3)</formula>
    </cfRule>
  </conditionalFormatting>
  <conditionalFormatting sqref="B33:D33">
    <cfRule type="expression" priority="40" dxfId="3" stopIfTrue="1">
      <formula>AND(NOT(EXACT('4a-Progress_mini-rocket'!$H$29,"")),'4a-Progress_mini-rocket'!$H$29&lt;1)</formula>
    </cfRule>
  </conditionalFormatting>
  <conditionalFormatting sqref="H33:J33">
    <cfRule type="expression" priority="41" dxfId="27" stopIfTrue="1">
      <formula>AND(NOT(EXACT('4a-Progress_mini-rocket'!$H$29,"")),'4a-Progress_mini-rocket'!$H$29&lt;1)</formula>
    </cfRule>
  </conditionalFormatting>
  <conditionalFormatting sqref="H34:J34">
    <cfRule type="expression" priority="42" dxfId="27" stopIfTrue="1">
      <formula>AND(NOT(EXACT('4a-Progress_mini-rocket'!$H$29,"")),'4a-Progress_mini-rocket'!$H$29&lt;2)</formula>
    </cfRule>
  </conditionalFormatting>
  <conditionalFormatting sqref="H35:J35">
    <cfRule type="expression" priority="43" dxfId="27" stopIfTrue="1">
      <formula>AND(NOT(EXACT('4a-Progress_mini-rocket'!$H$29,"")),'4a-Progress_mini-rocket'!$H$29&lt;3)</formula>
    </cfRule>
  </conditionalFormatting>
  <conditionalFormatting sqref="C128:D128 H129:J134">
    <cfRule type="expression" priority="44" dxfId="3" stopIfTrue="1">
      <formula>AND(NOT(EXACT('4a-Progress_mini-rocket'!$H$117,"")),'4a-Progress_mini-rocket'!$H$117&lt;2)</formula>
    </cfRule>
  </conditionalFormatting>
  <conditionalFormatting sqref="B121:D121 B128 C122:C127 C129:C134 H122:J127">
    <cfRule type="expression" priority="45" dxfId="3" stopIfTrue="1">
      <formula>AND(NOT(EXACT('4a-Progress_mini-rocket'!$H$117,"")),'4a-Progress_mini-rocket'!$H$117&lt;1)</formula>
    </cfRule>
  </conditionalFormatting>
  <conditionalFormatting sqref="K122:K127 K129:K134">
    <cfRule type="expression" priority="46" dxfId="27" stopIfTrue="1">
      <formula>NOT(EXACT('4a-Progress_mini-rocket'!$H$117,""))</formula>
    </cfRule>
  </conditionalFormatting>
  <conditionalFormatting sqref="L122:L127 L129:L135">
    <cfRule type="expression" priority="47" dxfId="3" stopIfTrue="1">
      <formula>NOT(EXACT('4a-Progress_mini-rocket'!$H$117,""))</formula>
    </cfRule>
  </conditionalFormatting>
  <conditionalFormatting sqref="L85">
    <cfRule type="expression" priority="48" dxfId="3" stopIfTrue="1">
      <formula>AND(OR(NOT(EXACT('4a-Progress_mini-rocket'!#REF!,"")),NOT(EXACT('4a-Progress_mini-rocket'!#REF!,"")),NOT(EXACT('4a-Progress_mini-rocket'!#REF!,""))),OR(NOT(EXACT('4a-Progress_mini-rocket'!#REF!,"")),NOT(EXACT('4a-Progress_mini-rocket'!#REF!,"")),NOT(EXACT('4a-Progress_mini-rocket'!#REF!,""))))</formula>
    </cfRule>
  </conditionalFormatting>
  <conditionalFormatting sqref="D8:G8">
    <cfRule type="cellIs" priority="49" dxfId="0" operator="equal" stopIfTrue="1">
      <formula>"Sélectionner …"</formula>
    </cfRule>
  </conditionalFormatting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0"/>
  <rowBreaks count="2" manualBreakCount="2">
    <brk id="76" max="255" man="1"/>
    <brk id="1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Arthur</cp:lastModifiedBy>
  <cp:lastPrinted>2010-10-16T11:00:08Z</cp:lastPrinted>
  <dcterms:created xsi:type="dcterms:W3CDTF">2011-12-30T14:07:33Z</dcterms:created>
  <dcterms:modified xsi:type="dcterms:W3CDTF">2012-02-11T12:51:07Z</dcterms:modified>
  <cp:category/>
  <cp:version/>
  <cp:contentType/>
  <cp:contentStatus/>
</cp:coreProperties>
</file>